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ersonal und Finanzen\Pensionskasse SBV\Berechnungstools Homepage\Tool Berechnung Homepage-Überarbeitung 05.2025\"/>
    </mc:Choice>
  </mc:AlternateContent>
  <xr:revisionPtr revIDLastSave="0" documentId="13_ncr:1_{8593C214-CE47-4A69-B933-9FA9C83C1EF9}" xr6:coauthVersionLast="47" xr6:coauthVersionMax="47" xr10:uidLastSave="{00000000-0000-0000-0000-000000000000}"/>
  <workbookProtection workbookAlgorithmName="SHA-512" workbookHashValue="vldzmdEG/58B5kXamUdJ/PJvwz/Fn6ZB1ItaD6hfH3SrOIyvj/sz+tavuJJkcozPNhLWLZ0GKpL2ccsp530LEQ==" workbookSaltValue="Dr4HvNx/R3+/TN1wSuC1Eg==" workbookSpinCount="100000" lockStructure="1" lockWindows="1"/>
  <bookViews>
    <workbookView xWindow="-120" yWindow="-120" windowWidth="29040" windowHeight="15840" xr2:uid="{00000000-000D-0000-FFFF-FFFF00000000}"/>
  </bookViews>
  <sheets>
    <sheet name="Eingabe_Ausgabe" sheetId="11" r:id="rId1"/>
    <sheet name="Berechnung" sheetId="5" state="hidden" r:id="rId2"/>
    <sheet name="Reglement" sheetId="4" state="hidden" r:id="rId3"/>
  </sheets>
  <definedNames>
    <definedName name="_xlnm.Print_Area" localSheetId="0">Eingabe_Ausgabe!$A$1:$C$62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1" l="1"/>
  <c r="E28" i="11" l="1"/>
  <c r="B30" i="5" l="1"/>
  <c r="B31" i="5"/>
  <c r="B32" i="5" l="1"/>
  <c r="B33" i="5" s="1"/>
  <c r="B12" i="5" l="1"/>
  <c r="B15" i="5" s="1"/>
  <c r="B28" i="5"/>
  <c r="B22" i="5"/>
  <c r="B35" i="5" l="1"/>
  <c r="B3" i="5"/>
  <c r="E36" i="11"/>
  <c r="F36" i="11" s="1"/>
  <c r="G36" i="11" s="1"/>
  <c r="C38" i="11"/>
  <c r="C37" i="11"/>
  <c r="C36" i="11"/>
  <c r="A38" i="11"/>
  <c r="B13" i="5"/>
  <c r="E37" i="11" s="1"/>
  <c r="F37" i="11" l="1"/>
  <c r="G37" i="11"/>
  <c r="B17" i="5" l="1"/>
  <c r="B16" i="5"/>
  <c r="B7" i="5"/>
  <c r="B4" i="5"/>
  <c r="M49" i="5"/>
  <c r="R49" i="5" s="1"/>
  <c r="M48" i="5"/>
  <c r="R48" i="5" s="1"/>
  <c r="W48" i="5" s="1"/>
  <c r="M47" i="5"/>
  <c r="R47" i="5" s="1"/>
  <c r="M46" i="5"/>
  <c r="R46" i="5" s="1"/>
  <c r="M45" i="5"/>
  <c r="M44" i="5"/>
  <c r="R44" i="5" s="1"/>
  <c r="W44" i="5" s="1"/>
  <c r="AB44" i="5" s="1"/>
  <c r="AG44" i="5" s="1"/>
  <c r="AL44" i="5" s="1"/>
  <c r="AQ44" i="5" s="1"/>
  <c r="M30" i="5"/>
  <c r="R30" i="5" s="1"/>
  <c r="W30" i="5" s="1"/>
  <c r="M29" i="5"/>
  <c r="R29" i="5" s="1"/>
  <c r="W29" i="5" s="1"/>
  <c r="M28" i="5"/>
  <c r="R28" i="5" s="1"/>
  <c r="M27" i="5"/>
  <c r="R27" i="5" s="1"/>
  <c r="M26" i="5"/>
  <c r="R26" i="5" s="1"/>
  <c r="M25" i="5"/>
  <c r="R25" i="5" s="1"/>
  <c r="W25" i="5" s="1"/>
  <c r="AB25" i="5" s="1"/>
  <c r="AG25" i="5" s="1"/>
  <c r="AL25" i="5" s="1"/>
  <c r="AQ25" i="5" s="1"/>
  <c r="M7" i="5"/>
  <c r="R7" i="5" s="1"/>
  <c r="M8" i="5"/>
  <c r="R8" i="5" s="1"/>
  <c r="M9" i="5"/>
  <c r="R9" i="5" s="1"/>
  <c r="M10" i="5"/>
  <c r="R10" i="5" s="1"/>
  <c r="M11" i="5"/>
  <c r="R11" i="5" s="1"/>
  <c r="M6" i="5"/>
  <c r="R6" i="5" s="1"/>
  <c r="W6" i="5" s="1"/>
  <c r="AB6" i="5" s="1"/>
  <c r="AG6" i="5" s="1"/>
  <c r="AL6" i="5" s="1"/>
  <c r="AQ6" i="5" s="1"/>
  <c r="I50" i="5" l="1"/>
  <c r="I12" i="5"/>
  <c r="I31" i="5"/>
  <c r="B5" i="5"/>
  <c r="C5" i="5"/>
  <c r="C4" i="5"/>
  <c r="B18" i="5"/>
  <c r="R45" i="5"/>
  <c r="AB48" i="5"/>
  <c r="W49" i="5"/>
  <c r="W46" i="5"/>
  <c r="W47" i="5"/>
  <c r="W26" i="5"/>
  <c r="W27" i="5"/>
  <c r="AB29" i="5"/>
  <c r="AB30" i="5"/>
  <c r="W28" i="5"/>
  <c r="W8" i="5"/>
  <c r="AB8" i="5" s="1"/>
  <c r="AG8" i="5" s="1"/>
  <c r="AL8" i="5" s="1"/>
  <c r="AQ8" i="5" s="1"/>
  <c r="W11" i="5"/>
  <c r="AB11" i="5" s="1"/>
  <c r="AG11" i="5" s="1"/>
  <c r="AL11" i="5" s="1"/>
  <c r="AQ11" i="5" s="1"/>
  <c r="W9" i="5"/>
  <c r="AB9" i="5" s="1"/>
  <c r="AG9" i="5" s="1"/>
  <c r="AL9" i="5" s="1"/>
  <c r="AQ9" i="5" s="1"/>
  <c r="W7" i="5"/>
  <c r="AB7" i="5" s="1"/>
  <c r="AG7" i="5" s="1"/>
  <c r="AL7" i="5" s="1"/>
  <c r="AQ7" i="5" s="1"/>
  <c r="W10" i="5"/>
  <c r="AB10" i="5" s="1"/>
  <c r="AG10" i="5" s="1"/>
  <c r="AL10" i="5" s="1"/>
  <c r="AQ10" i="5" s="1"/>
  <c r="M25" i="4"/>
  <c r="M26" i="4" s="1"/>
  <c r="M27" i="4" s="1"/>
  <c r="M28" i="4" s="1"/>
  <c r="M29" i="4" s="1"/>
  <c r="M30" i="4" s="1"/>
  <c r="M31" i="4" s="1"/>
  <c r="M32" i="4" s="1"/>
  <c r="M33" i="4" s="1"/>
  <c r="M34" i="4" s="1"/>
  <c r="M35" i="4" s="1"/>
  <c r="M36" i="4" s="1"/>
  <c r="M5" i="4"/>
  <c r="M6" i="4" s="1"/>
  <c r="M7" i="4" s="1"/>
  <c r="M8" i="4" s="1"/>
  <c r="M9" i="4" s="1"/>
  <c r="M10" i="4" s="1"/>
  <c r="M11" i="4" s="1"/>
  <c r="M12" i="4" s="1"/>
  <c r="M13" i="4" s="1"/>
  <c r="M14" i="4" s="1"/>
  <c r="M15" i="4" s="1"/>
  <c r="M16" i="4" s="1"/>
  <c r="I44" i="4"/>
  <c r="I45" i="4" s="1"/>
  <c r="I46" i="4" s="1"/>
  <c r="I47" i="4" s="1"/>
  <c r="I48" i="4" s="1"/>
  <c r="I49" i="4" s="1"/>
  <c r="I50" i="4" s="1"/>
  <c r="I51" i="4" s="1"/>
  <c r="I52" i="4" s="1"/>
  <c r="J43" i="4"/>
  <c r="J44" i="4" s="1"/>
  <c r="J45" i="4" s="1"/>
  <c r="J46" i="4" s="1"/>
  <c r="J47" i="4" s="1"/>
  <c r="J48" i="4" s="1"/>
  <c r="J49" i="4" s="1"/>
  <c r="J50" i="4" s="1"/>
  <c r="J51" i="4" s="1"/>
  <c r="J52" i="4" s="1"/>
  <c r="I38" i="4"/>
  <c r="I39" i="4" s="1"/>
  <c r="I40" i="4" s="1"/>
  <c r="I41" i="4" s="1"/>
  <c r="I42" i="4" s="1"/>
  <c r="H38" i="4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J33" i="4"/>
  <c r="J34" i="4" s="1"/>
  <c r="J35" i="4" s="1"/>
  <c r="J36" i="4" s="1"/>
  <c r="J37" i="4" s="1"/>
  <c r="J38" i="4" s="1"/>
  <c r="J39" i="4" s="1"/>
  <c r="J40" i="4" s="1"/>
  <c r="J41" i="4" s="1"/>
  <c r="I33" i="4"/>
  <c r="I34" i="4" s="1"/>
  <c r="I35" i="4" s="1"/>
  <c r="I36" i="4" s="1"/>
  <c r="H33" i="4"/>
  <c r="H34" i="4" s="1"/>
  <c r="H35" i="4" s="1"/>
  <c r="H36" i="4" s="1"/>
  <c r="G33" i="4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J28" i="4"/>
  <c r="J29" i="4" s="1"/>
  <c r="J30" i="4" s="1"/>
  <c r="J31" i="4" s="1"/>
  <c r="I28" i="4"/>
  <c r="I29" i="4" s="1"/>
  <c r="I30" i="4" s="1"/>
  <c r="I31" i="4" s="1"/>
  <c r="J23" i="4"/>
  <c r="J24" i="4" s="1"/>
  <c r="J25" i="4" s="1"/>
  <c r="J26" i="4" s="1"/>
  <c r="I23" i="4"/>
  <c r="I24" i="4" s="1"/>
  <c r="I25" i="4" s="1"/>
  <c r="I26" i="4" s="1"/>
  <c r="H23" i="4"/>
  <c r="H24" i="4" s="1"/>
  <c r="H25" i="4" s="1"/>
  <c r="H26" i="4" s="1"/>
  <c r="H27" i="4" s="1"/>
  <c r="H28" i="4" s="1"/>
  <c r="H29" i="4" s="1"/>
  <c r="H30" i="4" s="1"/>
  <c r="H31" i="4" s="1"/>
  <c r="G23" i="4"/>
  <c r="G24" i="4" s="1"/>
  <c r="G25" i="4" s="1"/>
  <c r="G26" i="4" s="1"/>
  <c r="G27" i="4" s="1"/>
  <c r="G28" i="4" s="1"/>
  <c r="G29" i="4" s="1"/>
  <c r="G30" i="4" s="1"/>
  <c r="G31" i="4" s="1"/>
  <c r="J13" i="4"/>
  <c r="J14" i="4" s="1"/>
  <c r="J15" i="4" s="1"/>
  <c r="J16" i="4" s="1"/>
  <c r="J17" i="4" s="1"/>
  <c r="J18" i="4" s="1"/>
  <c r="J19" i="4" s="1"/>
  <c r="J20" i="4" s="1"/>
  <c r="J21" i="4" s="1"/>
  <c r="I13" i="4"/>
  <c r="I14" i="4" s="1"/>
  <c r="I15" i="4" s="1"/>
  <c r="I16" i="4" s="1"/>
  <c r="I17" i="4" s="1"/>
  <c r="I18" i="4" s="1"/>
  <c r="I19" i="4" s="1"/>
  <c r="I20" i="4" s="1"/>
  <c r="I21" i="4" s="1"/>
  <c r="H13" i="4"/>
  <c r="H14" i="4" s="1"/>
  <c r="H15" i="4" s="1"/>
  <c r="H16" i="4" s="1"/>
  <c r="H17" i="4" s="1"/>
  <c r="H18" i="4" s="1"/>
  <c r="H19" i="4" s="1"/>
  <c r="H20" i="4" s="1"/>
  <c r="H21" i="4" s="1"/>
  <c r="G13" i="4"/>
  <c r="G14" i="4" s="1"/>
  <c r="G15" i="4" s="1"/>
  <c r="G16" i="4" s="1"/>
  <c r="G17" i="4" s="1"/>
  <c r="G18" i="4" s="1"/>
  <c r="G19" i="4" s="1"/>
  <c r="G20" i="4" s="1"/>
  <c r="G21" i="4" s="1"/>
  <c r="J5" i="4"/>
  <c r="J6" i="4" s="1"/>
  <c r="J7" i="4" s="1"/>
  <c r="J8" i="4" s="1"/>
  <c r="J9" i="4" s="1"/>
  <c r="J10" i="4" s="1"/>
  <c r="J11" i="4" s="1"/>
  <c r="I5" i="4"/>
  <c r="I6" i="4" s="1"/>
  <c r="I7" i="4" s="1"/>
  <c r="I8" i="4" s="1"/>
  <c r="I9" i="4" s="1"/>
  <c r="I10" i="4" s="1"/>
  <c r="I11" i="4" s="1"/>
  <c r="H5" i="4"/>
  <c r="H6" i="4" s="1"/>
  <c r="H7" i="4" s="1"/>
  <c r="H8" i="4" s="1"/>
  <c r="H9" i="4" s="1"/>
  <c r="H10" i="4" s="1"/>
  <c r="H11" i="4" s="1"/>
  <c r="G5" i="4"/>
  <c r="G6" i="4" s="1"/>
  <c r="G7" i="4" s="1"/>
  <c r="G8" i="4" s="1"/>
  <c r="G9" i="4" s="1"/>
  <c r="G10" i="4" s="1"/>
  <c r="G11" i="4" s="1"/>
  <c r="F5" i="4"/>
  <c r="F6" i="4" s="1"/>
  <c r="F7" i="4" s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X11" i="5" l="1"/>
  <c r="X49" i="5"/>
  <c r="X30" i="5"/>
  <c r="Q36" i="5"/>
  <c r="AA36" i="5"/>
  <c r="AF36" i="5"/>
  <c r="L55" i="5"/>
  <c r="AF55" i="5"/>
  <c r="AA17" i="5"/>
  <c r="L36" i="5"/>
  <c r="AK55" i="5"/>
  <c r="V17" i="5"/>
  <c r="AK36" i="5"/>
  <c r="V55" i="5"/>
  <c r="AK17" i="5"/>
  <c r="Q17" i="5"/>
  <c r="V36" i="5"/>
  <c r="AA55" i="5"/>
  <c r="AF17" i="5"/>
  <c r="L17" i="5"/>
  <c r="Q55" i="5"/>
  <c r="B19" i="5"/>
  <c r="B20" i="5" s="1"/>
  <c r="B21" i="5" s="1"/>
  <c r="AU55" i="5"/>
  <c r="AP17" i="5"/>
  <c r="AP55" i="5"/>
  <c r="AU17" i="5"/>
  <c r="AU36" i="5"/>
  <c r="AP36" i="5"/>
  <c r="AR51" i="5"/>
  <c r="AS51" i="5" s="1"/>
  <c r="AR44" i="5"/>
  <c r="AS44" i="5" s="1"/>
  <c r="AT44" i="5" s="1"/>
  <c r="AU44" i="5" s="1"/>
  <c r="AM51" i="5"/>
  <c r="AN51" i="5" s="1"/>
  <c r="AM44" i="5"/>
  <c r="AN44" i="5" s="1"/>
  <c r="AO44" i="5" s="1"/>
  <c r="AP44" i="5" s="1"/>
  <c r="AR32" i="5"/>
  <c r="AS32" i="5" s="1"/>
  <c r="AR25" i="5"/>
  <c r="AS25" i="5" s="1"/>
  <c r="AT25" i="5" s="1"/>
  <c r="AU25" i="5" s="1"/>
  <c r="AR13" i="5"/>
  <c r="AR10" i="5"/>
  <c r="AS10" i="5" s="1"/>
  <c r="AR8" i="5"/>
  <c r="AS8" i="5" s="1"/>
  <c r="AR6" i="5"/>
  <c r="AS6" i="5" s="1"/>
  <c r="AT6" i="5" s="1"/>
  <c r="AU6" i="5" s="1"/>
  <c r="AM13" i="5"/>
  <c r="AM10" i="5"/>
  <c r="AN10" i="5" s="1"/>
  <c r="AM8" i="5"/>
  <c r="AN8" i="5" s="1"/>
  <c r="AM6" i="5"/>
  <c r="AN6" i="5" s="1"/>
  <c r="AO6" i="5" s="1"/>
  <c r="AP6" i="5" s="1"/>
  <c r="AM32" i="5"/>
  <c r="AN32" i="5" s="1"/>
  <c r="AM25" i="5"/>
  <c r="AN25" i="5" s="1"/>
  <c r="AO25" i="5" s="1"/>
  <c r="AP25" i="5" s="1"/>
  <c r="AR11" i="5"/>
  <c r="AS11" i="5" s="1"/>
  <c r="AR9" i="5"/>
  <c r="AS9" i="5" s="1"/>
  <c r="AR7" i="5"/>
  <c r="AS7" i="5" s="1"/>
  <c r="AM11" i="5"/>
  <c r="AN11" i="5" s="1"/>
  <c r="AM9" i="5"/>
  <c r="AN9" i="5" s="1"/>
  <c r="AM7" i="5"/>
  <c r="AN7" i="5" s="1"/>
  <c r="AT50" i="5"/>
  <c r="AT31" i="5"/>
  <c r="AO50" i="5"/>
  <c r="AO31" i="5"/>
  <c r="AR31" i="5"/>
  <c r="AS31" i="5" s="1"/>
  <c r="AM31" i="5"/>
  <c r="AN31" i="5" s="1"/>
  <c r="AM12" i="5"/>
  <c r="AR50" i="5"/>
  <c r="AS50" i="5" s="1"/>
  <c r="AR12" i="5"/>
  <c r="AM50" i="5"/>
  <c r="AN50" i="5" s="1"/>
  <c r="A33" i="11"/>
  <c r="AB47" i="5"/>
  <c r="AG48" i="5"/>
  <c r="AL48" i="5" s="1"/>
  <c r="AQ48" i="5" s="1"/>
  <c r="AR48" i="5" s="1"/>
  <c r="AS48" i="5" s="1"/>
  <c r="AB46" i="5"/>
  <c r="AB49" i="5"/>
  <c r="W45" i="5"/>
  <c r="AB28" i="5"/>
  <c r="AG30" i="5"/>
  <c r="AL30" i="5" s="1"/>
  <c r="AQ30" i="5" s="1"/>
  <c r="AR30" i="5" s="1"/>
  <c r="AS30" i="5" s="1"/>
  <c r="AB27" i="5"/>
  <c r="AG29" i="5"/>
  <c r="AL29" i="5" s="1"/>
  <c r="AQ29" i="5" s="1"/>
  <c r="AR29" i="5" s="1"/>
  <c r="AS29" i="5" s="1"/>
  <c r="AB26" i="5"/>
  <c r="AP51" i="5" l="1"/>
  <c r="AU51" i="5"/>
  <c r="AU32" i="5"/>
  <c r="AN12" i="5"/>
  <c r="AO12" i="5"/>
  <c r="AS12" i="5"/>
  <c r="AT12" i="5"/>
  <c r="AP32" i="5"/>
  <c r="AO10" i="5"/>
  <c r="AO8" i="5"/>
  <c r="AO7" i="5"/>
  <c r="AO9" i="5"/>
  <c r="AT8" i="5"/>
  <c r="AT7" i="5"/>
  <c r="AT9" i="5"/>
  <c r="AN13" i="5"/>
  <c r="AP13" i="5" s="1"/>
  <c r="AO11" i="5"/>
  <c r="AS13" i="5"/>
  <c r="AU13" i="5" s="1"/>
  <c r="AT11" i="5"/>
  <c r="AT30" i="5"/>
  <c r="AT10" i="5"/>
  <c r="AT29" i="5"/>
  <c r="AT48" i="5"/>
  <c r="AM48" i="5"/>
  <c r="AN48" i="5" s="1"/>
  <c r="AO48" i="5" s="1"/>
  <c r="AM30" i="5"/>
  <c r="AN30" i="5" s="1"/>
  <c r="AO30" i="5" s="1"/>
  <c r="AM29" i="5"/>
  <c r="AN29" i="5" s="1"/>
  <c r="AO29" i="5" s="1"/>
  <c r="AB45" i="5"/>
  <c r="AG49" i="5"/>
  <c r="AL49" i="5" s="1"/>
  <c r="AG46" i="5"/>
  <c r="AL46" i="5" s="1"/>
  <c r="AG47" i="5"/>
  <c r="AL47" i="5" s="1"/>
  <c r="AG26" i="5"/>
  <c r="AL26" i="5" s="1"/>
  <c r="AG27" i="5"/>
  <c r="AL27" i="5" s="1"/>
  <c r="AG28" i="5"/>
  <c r="AL28" i="5" s="1"/>
  <c r="AQ26" i="5" l="1"/>
  <c r="AR26" i="5" s="1"/>
  <c r="AS26" i="5" s="1"/>
  <c r="AT26" i="5" s="1"/>
  <c r="AM26" i="5"/>
  <c r="AN26" i="5" s="1"/>
  <c r="AO26" i="5" s="1"/>
  <c r="AQ47" i="5"/>
  <c r="AR47" i="5" s="1"/>
  <c r="AS47" i="5" s="1"/>
  <c r="AT47" i="5" s="1"/>
  <c r="AM47" i="5"/>
  <c r="AN47" i="5" s="1"/>
  <c r="AO47" i="5" s="1"/>
  <c r="AQ28" i="5"/>
  <c r="AR28" i="5" s="1"/>
  <c r="AS28" i="5" s="1"/>
  <c r="AT28" i="5" s="1"/>
  <c r="AM28" i="5"/>
  <c r="AN28" i="5" s="1"/>
  <c r="AO28" i="5" s="1"/>
  <c r="AQ46" i="5"/>
  <c r="AR46" i="5" s="1"/>
  <c r="AS46" i="5" s="1"/>
  <c r="AT46" i="5" s="1"/>
  <c r="AM46" i="5"/>
  <c r="AN46" i="5" s="1"/>
  <c r="AO46" i="5" s="1"/>
  <c r="AQ27" i="5"/>
  <c r="AR27" i="5" s="1"/>
  <c r="AS27" i="5" s="1"/>
  <c r="AT27" i="5" s="1"/>
  <c r="AM27" i="5"/>
  <c r="AN27" i="5" s="1"/>
  <c r="AO27" i="5" s="1"/>
  <c r="AQ49" i="5"/>
  <c r="AR49" i="5" s="1"/>
  <c r="AS49" i="5" s="1"/>
  <c r="AT49" i="5" s="1"/>
  <c r="AM49" i="5"/>
  <c r="AN49" i="5" s="1"/>
  <c r="AO49" i="5" s="1"/>
  <c r="F38" i="11"/>
  <c r="E38" i="11"/>
  <c r="G38" i="11"/>
  <c r="AG45" i="5"/>
  <c r="AL45" i="5" s="1"/>
  <c r="B9" i="5"/>
  <c r="C7" i="5"/>
  <c r="AQ45" i="5" l="1"/>
  <c r="AR45" i="5" s="1"/>
  <c r="AS45" i="5" s="1"/>
  <c r="AT45" i="5" s="1"/>
  <c r="AM45" i="5"/>
  <c r="AN45" i="5" s="1"/>
  <c r="AO45" i="5" s="1"/>
  <c r="AK53" i="5"/>
  <c r="AA53" i="5"/>
  <c r="Q53" i="5"/>
  <c r="AU34" i="5"/>
  <c r="AK34" i="5"/>
  <c r="AP53" i="5"/>
  <c r="AF53" i="5"/>
  <c r="V53" i="5"/>
  <c r="L53" i="5"/>
  <c r="AP34" i="5"/>
  <c r="AF34" i="5"/>
  <c r="AA34" i="5"/>
  <c r="Q34" i="5"/>
  <c r="AK15" i="5"/>
  <c r="Q15" i="5"/>
  <c r="AA15" i="5"/>
  <c r="AU53" i="5"/>
  <c r="AU15" i="5"/>
  <c r="V34" i="5"/>
  <c r="L34" i="5"/>
  <c r="AP15" i="5"/>
  <c r="L15" i="5"/>
  <c r="V15" i="5"/>
  <c r="AF15" i="5"/>
  <c r="AH46" i="5"/>
  <c r="AI46" i="5" s="1"/>
  <c r="AH51" i="5"/>
  <c r="AC51" i="5"/>
  <c r="X51" i="5"/>
  <c r="S51" i="5"/>
  <c r="N51" i="5"/>
  <c r="I51" i="5"/>
  <c r="I32" i="5"/>
  <c r="S32" i="5"/>
  <c r="AC30" i="5"/>
  <c r="AD30" i="5" s="1"/>
  <c r="AH32" i="5"/>
  <c r="Y30" i="5"/>
  <c r="N30" i="5"/>
  <c r="O30" i="5" s="1"/>
  <c r="N11" i="5"/>
  <c r="O11" i="5" s="1"/>
  <c r="AC11" i="5"/>
  <c r="AD11" i="5" s="1"/>
  <c r="X13" i="5"/>
  <c r="N13" i="5"/>
  <c r="I11" i="5"/>
  <c r="J11" i="5" s="1"/>
  <c r="AH11" i="5"/>
  <c r="AI11" i="5" s="1"/>
  <c r="AH49" i="5"/>
  <c r="AI49" i="5" s="1"/>
  <c r="AC49" i="5"/>
  <c r="AD49" i="5" s="1"/>
  <c r="Y49" i="5"/>
  <c r="S49" i="5"/>
  <c r="N49" i="5"/>
  <c r="O49" i="5" s="1"/>
  <c r="I49" i="5"/>
  <c r="N32" i="5"/>
  <c r="X32" i="5"/>
  <c r="AC32" i="5"/>
  <c r="AH30" i="5"/>
  <c r="AI30" i="5" s="1"/>
  <c r="S30" i="5"/>
  <c r="T30" i="5" s="1"/>
  <c r="I30" i="5"/>
  <c r="J30" i="5" s="1"/>
  <c r="S11" i="5"/>
  <c r="T11" i="5" s="1"/>
  <c r="AC13" i="5"/>
  <c r="S13" i="5"/>
  <c r="I13" i="5"/>
  <c r="AH13" i="5"/>
  <c r="Y11" i="5"/>
  <c r="AH26" i="5"/>
  <c r="AI26" i="5" s="1"/>
  <c r="AH27" i="5"/>
  <c r="AI27" i="5" s="1"/>
  <c r="AC45" i="5"/>
  <c r="AD45" i="5" s="1"/>
  <c r="AC50" i="5"/>
  <c r="AD50" i="5" s="1"/>
  <c r="S50" i="5"/>
  <c r="T50" i="5" s="1"/>
  <c r="J50" i="5"/>
  <c r="AH31" i="5"/>
  <c r="AI31" i="5" s="1"/>
  <c r="AC31" i="5"/>
  <c r="AD31" i="5" s="1"/>
  <c r="X31" i="5"/>
  <c r="Y31" i="5" s="1"/>
  <c r="S31" i="5"/>
  <c r="T31" i="5" s="1"/>
  <c r="N31" i="5"/>
  <c r="O31" i="5" s="1"/>
  <c r="J31" i="5"/>
  <c r="AH50" i="5"/>
  <c r="AI50" i="5" s="1"/>
  <c r="X50" i="5"/>
  <c r="Y50" i="5" s="1"/>
  <c r="N50" i="5"/>
  <c r="O50" i="5" s="1"/>
  <c r="J49" i="5"/>
  <c r="N48" i="5"/>
  <c r="O48" i="5" s="1"/>
  <c r="I45" i="5"/>
  <c r="J45" i="5" s="1"/>
  <c r="AH44" i="5"/>
  <c r="AI44" i="5" s="1"/>
  <c r="AJ44" i="5" s="1"/>
  <c r="AK44" i="5" s="1"/>
  <c r="X44" i="5"/>
  <c r="Y44" i="5" s="1"/>
  <c r="Z44" i="5" s="1"/>
  <c r="AA44" i="5" s="1"/>
  <c r="S44" i="5"/>
  <c r="T44" i="5" s="1"/>
  <c r="U44" i="5" s="1"/>
  <c r="V44" i="5" s="1"/>
  <c r="N44" i="5"/>
  <c r="O44" i="5" s="1"/>
  <c r="P44" i="5" s="1"/>
  <c r="Q44" i="5" s="1"/>
  <c r="I29" i="5"/>
  <c r="J29" i="5" s="1"/>
  <c r="I28" i="5"/>
  <c r="J28" i="5" s="1"/>
  <c r="I27" i="5"/>
  <c r="J27" i="5" s="1"/>
  <c r="N26" i="5"/>
  <c r="O26" i="5" s="1"/>
  <c r="AC25" i="5"/>
  <c r="AD25" i="5" s="1"/>
  <c r="AE25" i="5" s="1"/>
  <c r="AF25" i="5" s="1"/>
  <c r="X25" i="5"/>
  <c r="Y25" i="5" s="1"/>
  <c r="Z25" i="5" s="1"/>
  <c r="AA25" i="5" s="1"/>
  <c r="S25" i="5"/>
  <c r="T25" i="5" s="1"/>
  <c r="U25" i="5" s="1"/>
  <c r="V25" i="5" s="1"/>
  <c r="N25" i="5"/>
  <c r="O25" i="5" s="1"/>
  <c r="P25" i="5" s="1"/>
  <c r="Q25" i="5" s="1"/>
  <c r="I48" i="5"/>
  <c r="J48" i="5" s="1"/>
  <c r="I47" i="5"/>
  <c r="J47" i="5" s="1"/>
  <c r="N46" i="5"/>
  <c r="O46" i="5" s="1"/>
  <c r="I46" i="5"/>
  <c r="J46" i="5" s="1"/>
  <c r="AC44" i="5"/>
  <c r="AD44" i="5" s="1"/>
  <c r="AE44" i="5" s="1"/>
  <c r="AF44" i="5" s="1"/>
  <c r="I44" i="5"/>
  <c r="J44" i="5" s="1"/>
  <c r="K44" i="5" s="1"/>
  <c r="L44" i="5" s="1"/>
  <c r="N29" i="5"/>
  <c r="O29" i="5" s="1"/>
  <c r="I26" i="5"/>
  <c r="J26" i="5" s="1"/>
  <c r="AH25" i="5"/>
  <c r="AI25" i="5" s="1"/>
  <c r="AJ25" i="5" s="1"/>
  <c r="AK25" i="5" s="1"/>
  <c r="I25" i="5"/>
  <c r="J25" i="5" s="1"/>
  <c r="K25" i="5" s="1"/>
  <c r="L25" i="5" s="1"/>
  <c r="X48" i="5"/>
  <c r="Y48" i="5" s="1"/>
  <c r="T49" i="5"/>
  <c r="S47" i="5"/>
  <c r="T47" i="5" s="1"/>
  <c r="S26" i="5"/>
  <c r="T26" i="5" s="1"/>
  <c r="N45" i="5"/>
  <c r="O45" i="5" s="1"/>
  <c r="S46" i="5"/>
  <c r="T46" i="5" s="1"/>
  <c r="N47" i="5"/>
  <c r="O47" i="5" s="1"/>
  <c r="S48" i="5"/>
  <c r="T48" i="5" s="1"/>
  <c r="S27" i="5"/>
  <c r="T27" i="5" s="1"/>
  <c r="X29" i="5"/>
  <c r="Y29" i="5" s="1"/>
  <c r="S28" i="5"/>
  <c r="T28" i="5" s="1"/>
  <c r="N27" i="5"/>
  <c r="O27" i="5" s="1"/>
  <c r="N28" i="5"/>
  <c r="O28" i="5" s="1"/>
  <c r="S29" i="5"/>
  <c r="T29" i="5" s="1"/>
  <c r="AC48" i="5"/>
  <c r="AD48" i="5" s="1"/>
  <c r="X46" i="5"/>
  <c r="Y46" i="5" s="1"/>
  <c r="X28" i="5"/>
  <c r="Y28" i="5" s="1"/>
  <c r="AC29" i="5"/>
  <c r="AD29" i="5" s="1"/>
  <c r="X26" i="5"/>
  <c r="Y26" i="5" s="1"/>
  <c r="X47" i="5"/>
  <c r="Y47" i="5" s="1"/>
  <c r="S45" i="5"/>
  <c r="T45" i="5" s="1"/>
  <c r="X27" i="5"/>
  <c r="Y27" i="5" s="1"/>
  <c r="AH48" i="5"/>
  <c r="AI48" i="5" s="1"/>
  <c r="X45" i="5"/>
  <c r="Y45" i="5" s="1"/>
  <c r="AH29" i="5"/>
  <c r="AI29" i="5" s="1"/>
  <c r="AC27" i="5"/>
  <c r="AD27" i="5" s="1"/>
  <c r="AC28" i="5"/>
  <c r="AD28" i="5" s="1"/>
  <c r="AC46" i="5"/>
  <c r="AD46" i="5" s="1"/>
  <c r="AC47" i="5"/>
  <c r="AD47" i="5" s="1"/>
  <c r="AC26" i="5"/>
  <c r="AD26" i="5" s="1"/>
  <c r="AH28" i="5"/>
  <c r="AI28" i="5" s="1"/>
  <c r="AH47" i="5"/>
  <c r="AI47" i="5" s="1"/>
  <c r="AH45" i="5"/>
  <c r="AI45" i="5" s="1"/>
  <c r="N12" i="5"/>
  <c r="O12" i="5" s="1"/>
  <c r="AH12" i="5"/>
  <c r="AC12" i="5"/>
  <c r="X12" i="5"/>
  <c r="Y12" i="5" s="1"/>
  <c r="S12" i="5"/>
  <c r="T12" i="5" s="1"/>
  <c r="AH9" i="5"/>
  <c r="AI9" i="5" s="1"/>
  <c r="AH7" i="5"/>
  <c r="AI7" i="5" s="1"/>
  <c r="AC8" i="5"/>
  <c r="AD8" i="5" s="1"/>
  <c r="AC6" i="5"/>
  <c r="AD6" i="5" s="1"/>
  <c r="AE6" i="5" s="1"/>
  <c r="AF6" i="5" s="1"/>
  <c r="X10" i="5"/>
  <c r="Y10" i="5" s="1"/>
  <c r="X8" i="5"/>
  <c r="Y8" i="5" s="1"/>
  <c r="X6" i="5"/>
  <c r="Y6" i="5" s="1"/>
  <c r="Z6" i="5" s="1"/>
  <c r="AA6" i="5" s="1"/>
  <c r="S6" i="5"/>
  <c r="T6" i="5" s="1"/>
  <c r="U6" i="5" s="1"/>
  <c r="V6" i="5" s="1"/>
  <c r="N9" i="5"/>
  <c r="O9" i="5" s="1"/>
  <c r="N7" i="5"/>
  <c r="O7" i="5" s="1"/>
  <c r="I8" i="5"/>
  <c r="J8" i="5" s="1"/>
  <c r="I10" i="5"/>
  <c r="J10" i="5" s="1"/>
  <c r="I6" i="5"/>
  <c r="J6" i="5" s="1"/>
  <c r="K6" i="5" s="1"/>
  <c r="AH10" i="5"/>
  <c r="AI10" i="5" s="1"/>
  <c r="AH8" i="5"/>
  <c r="AI8" i="5" s="1"/>
  <c r="AH6" i="5"/>
  <c r="AI6" i="5" s="1"/>
  <c r="AJ6" i="5" s="1"/>
  <c r="AK6" i="5" s="1"/>
  <c r="AC9" i="5"/>
  <c r="AD9" i="5" s="1"/>
  <c r="AC10" i="5"/>
  <c r="AD10" i="5" s="1"/>
  <c r="X9" i="5"/>
  <c r="Y9" i="5" s="1"/>
  <c r="N8" i="5"/>
  <c r="O8" i="5" s="1"/>
  <c r="I9" i="5"/>
  <c r="J9" i="5" s="1"/>
  <c r="AC7" i="5"/>
  <c r="AD7" i="5" s="1"/>
  <c r="X7" i="5"/>
  <c r="Y7" i="5" s="1"/>
  <c r="N10" i="5"/>
  <c r="O10" i="5" s="1"/>
  <c r="N6" i="5"/>
  <c r="O6" i="5" s="1"/>
  <c r="P6" i="5" s="1"/>
  <c r="I7" i="5"/>
  <c r="J7" i="5" s="1"/>
  <c r="S8" i="5"/>
  <c r="T8" i="5" s="1"/>
  <c r="S9" i="5"/>
  <c r="T9" i="5" s="1"/>
  <c r="S7" i="5"/>
  <c r="T7" i="5" s="1"/>
  <c r="S10" i="5"/>
  <c r="T10" i="5" s="1"/>
  <c r="AP46" i="5" l="1"/>
  <c r="AU48" i="5"/>
  <c r="AP48" i="5"/>
  <c r="AU26" i="5"/>
  <c r="AP26" i="5"/>
  <c r="AP10" i="5"/>
  <c r="AU8" i="5"/>
  <c r="AU46" i="5"/>
  <c r="AU28" i="5"/>
  <c r="AP28" i="5"/>
  <c r="AU10" i="5"/>
  <c r="AP8" i="5"/>
  <c r="AP11" i="5"/>
  <c r="AU30" i="5"/>
  <c r="AU45" i="5"/>
  <c r="AP47" i="5"/>
  <c r="AP9" i="5"/>
  <c r="AU11" i="5"/>
  <c r="AU27" i="5"/>
  <c r="AP45" i="5"/>
  <c r="AP7" i="5"/>
  <c r="AU9" i="5"/>
  <c r="AP29" i="5"/>
  <c r="AU29" i="5"/>
  <c r="AU49" i="5"/>
  <c r="AU7" i="5"/>
  <c r="AP27" i="5"/>
  <c r="AP30" i="5"/>
  <c r="AU47" i="5"/>
  <c r="AP49" i="5"/>
  <c r="AJ50" i="5"/>
  <c r="Z50" i="5"/>
  <c r="P50" i="5"/>
  <c r="AE50" i="5"/>
  <c r="U50" i="5"/>
  <c r="K50" i="5"/>
  <c r="K45" i="5"/>
  <c r="L45" i="5" s="1"/>
  <c r="AJ48" i="5"/>
  <c r="AK48" i="5" s="1"/>
  <c r="AJ31" i="5"/>
  <c r="Z31" i="5"/>
  <c r="P31" i="5"/>
  <c r="AE31" i="5"/>
  <c r="U31" i="5"/>
  <c r="K31" i="5"/>
  <c r="U48" i="5"/>
  <c r="V48" i="5" s="1"/>
  <c r="U27" i="5"/>
  <c r="V27" i="5" s="1"/>
  <c r="U28" i="5"/>
  <c r="V28" i="5" s="1"/>
  <c r="U29" i="5"/>
  <c r="V29" i="5" s="1"/>
  <c r="U30" i="5"/>
  <c r="V30" i="5" s="1"/>
  <c r="U47" i="5"/>
  <c r="V47" i="5" s="1"/>
  <c r="U45" i="5"/>
  <c r="V45" i="5" s="1"/>
  <c r="AE30" i="5"/>
  <c r="AF30" i="5" s="1"/>
  <c r="AE48" i="5"/>
  <c r="AF48" i="5" s="1"/>
  <c r="AE29" i="5"/>
  <c r="AF29" i="5" s="1"/>
  <c r="AE46" i="5"/>
  <c r="AF46" i="5" s="1"/>
  <c r="AE27" i="5"/>
  <c r="AF27" i="5" s="1"/>
  <c r="Z48" i="5"/>
  <c r="AA48" i="5" s="1"/>
  <c r="Z30" i="5"/>
  <c r="AA30" i="5" s="1"/>
  <c r="Z49" i="5"/>
  <c r="AA49" i="5" s="1"/>
  <c r="AJ45" i="5"/>
  <c r="AK45" i="5" s="1"/>
  <c r="AJ46" i="5"/>
  <c r="AK46" i="5" s="1"/>
  <c r="AJ47" i="5"/>
  <c r="AK47" i="5" s="1"/>
  <c r="AE26" i="5"/>
  <c r="AF26" i="5" s="1"/>
  <c r="AE47" i="5"/>
  <c r="AF47" i="5" s="1"/>
  <c r="AE28" i="5"/>
  <c r="AF28" i="5" s="1"/>
  <c r="AJ29" i="5"/>
  <c r="AK29" i="5" s="1"/>
  <c r="Z45" i="5"/>
  <c r="AA45" i="5" s="1"/>
  <c r="Z27" i="5"/>
  <c r="AA27" i="5" s="1"/>
  <c r="Z47" i="5"/>
  <c r="AA47" i="5" s="1"/>
  <c r="Z46" i="5"/>
  <c r="AA46" i="5" s="1"/>
  <c r="U46" i="5"/>
  <c r="V46" i="5" s="1"/>
  <c r="P29" i="5"/>
  <c r="Q29" i="5" s="1"/>
  <c r="T32" i="5"/>
  <c r="V32" i="5" s="1"/>
  <c r="K46" i="5"/>
  <c r="L46" i="5" s="1"/>
  <c r="K47" i="5"/>
  <c r="L47" i="5" s="1"/>
  <c r="T51" i="5"/>
  <c r="V51" i="5" s="1"/>
  <c r="P26" i="5"/>
  <c r="Q26" i="5" s="1"/>
  <c r="K28" i="5"/>
  <c r="L28" i="5" s="1"/>
  <c r="P30" i="5"/>
  <c r="Q30" i="5" s="1"/>
  <c r="O32" i="5"/>
  <c r="Q32" i="5" s="1"/>
  <c r="AI32" i="5"/>
  <c r="AK32" i="5" s="1"/>
  <c r="P48" i="5"/>
  <c r="Q48" i="5" s="1"/>
  <c r="J51" i="5"/>
  <c r="L51" i="5" s="1"/>
  <c r="AD51" i="5"/>
  <c r="AF51" i="5" s="1"/>
  <c r="AE45" i="5"/>
  <c r="AF45" i="5" s="1"/>
  <c r="P47" i="5"/>
  <c r="Q47" i="5" s="1"/>
  <c r="P49" i="5"/>
  <c r="Q49" i="5" s="1"/>
  <c r="P27" i="5"/>
  <c r="Q27" i="5" s="1"/>
  <c r="P28" i="5"/>
  <c r="Q28" i="5" s="1"/>
  <c r="AJ49" i="5"/>
  <c r="AK49" i="5" s="1"/>
  <c r="AJ26" i="5"/>
  <c r="AK26" i="5" s="1"/>
  <c r="AJ28" i="5"/>
  <c r="AK28" i="5" s="1"/>
  <c r="AJ30" i="5"/>
  <c r="AK30" i="5" s="1"/>
  <c r="AE49" i="5"/>
  <c r="AF49" i="5" s="1"/>
  <c r="Z26" i="5"/>
  <c r="AA26" i="5" s="1"/>
  <c r="Z28" i="5"/>
  <c r="AA28" i="5" s="1"/>
  <c r="Z29" i="5"/>
  <c r="AA29" i="5" s="1"/>
  <c r="P45" i="5"/>
  <c r="Q45" i="5" s="1"/>
  <c r="U26" i="5"/>
  <c r="V26" i="5" s="1"/>
  <c r="U49" i="5"/>
  <c r="V49" i="5" s="1"/>
  <c r="K26" i="5"/>
  <c r="L26" i="5" s="1"/>
  <c r="K30" i="5"/>
  <c r="L30" i="5" s="1"/>
  <c r="Y32" i="5"/>
  <c r="AA32" i="5" s="1"/>
  <c r="P46" i="5"/>
  <c r="Q46" i="5" s="1"/>
  <c r="K48" i="5"/>
  <c r="L48" i="5" s="1"/>
  <c r="Y51" i="5"/>
  <c r="AA51" i="5" s="1"/>
  <c r="K27" i="5"/>
  <c r="L27" i="5" s="1"/>
  <c r="K29" i="5"/>
  <c r="L29" i="5" s="1"/>
  <c r="J32" i="5"/>
  <c r="L32" i="5" s="1"/>
  <c r="AD32" i="5"/>
  <c r="AF32" i="5" s="1"/>
  <c r="K49" i="5"/>
  <c r="L49" i="5" s="1"/>
  <c r="O51" i="5"/>
  <c r="Q51" i="5" s="1"/>
  <c r="AI51" i="5"/>
  <c r="AK51" i="5" s="1"/>
  <c r="AJ27" i="5"/>
  <c r="AK27" i="5" s="1"/>
  <c r="Z12" i="5"/>
  <c r="U12" i="5"/>
  <c r="P12" i="5"/>
  <c r="K7" i="5"/>
  <c r="L7" i="5" s="1"/>
  <c r="K9" i="5"/>
  <c r="L9" i="5" s="1"/>
  <c r="J13" i="5"/>
  <c r="L13" i="5" s="1"/>
  <c r="K10" i="5"/>
  <c r="L10" i="5" s="1"/>
  <c r="K8" i="5"/>
  <c r="L8" i="5" s="1"/>
  <c r="U10" i="5"/>
  <c r="V10" i="5" s="1"/>
  <c r="U8" i="5"/>
  <c r="V8" i="5" s="1"/>
  <c r="U9" i="5"/>
  <c r="V9" i="5" s="1"/>
  <c r="T13" i="5"/>
  <c r="V13" i="5" s="1"/>
  <c r="U11" i="5"/>
  <c r="V11" i="5" s="1"/>
  <c r="U7" i="5"/>
  <c r="V7" i="5" s="1"/>
  <c r="AE10" i="5"/>
  <c r="AF10" i="5" s="1"/>
  <c r="AE7" i="5"/>
  <c r="AF7" i="5" s="1"/>
  <c r="AE8" i="5"/>
  <c r="AF8" i="5" s="1"/>
  <c r="AD13" i="5"/>
  <c r="AF13" i="5" s="1"/>
  <c r="AE11" i="5"/>
  <c r="AF11" i="5" s="1"/>
  <c r="AE9" i="5"/>
  <c r="AF9" i="5" s="1"/>
  <c r="AJ11" i="5"/>
  <c r="AK11" i="5" s="1"/>
  <c r="AJ9" i="5"/>
  <c r="AK9" i="5" s="1"/>
  <c r="AJ7" i="5"/>
  <c r="AK7" i="5" s="1"/>
  <c r="AI13" i="5"/>
  <c r="AK13" i="5" s="1"/>
  <c r="AJ10" i="5"/>
  <c r="AK10" i="5" s="1"/>
  <c r="AJ8" i="5"/>
  <c r="AK8" i="5" s="1"/>
  <c r="K11" i="5"/>
  <c r="L11" i="5" s="1"/>
  <c r="Z11" i="5"/>
  <c r="AA11" i="5" s="1"/>
  <c r="Z9" i="5"/>
  <c r="AA9" i="5" s="1"/>
  <c r="Z7" i="5"/>
  <c r="AA7" i="5" s="1"/>
  <c r="Z8" i="5"/>
  <c r="AA8" i="5" s="1"/>
  <c r="Y13" i="5"/>
  <c r="AA13" i="5" s="1"/>
  <c r="Z10" i="5"/>
  <c r="AA10" i="5" s="1"/>
  <c r="AI12" i="5"/>
  <c r="AJ12" i="5"/>
  <c r="P11" i="5"/>
  <c r="P9" i="5"/>
  <c r="P7" i="5"/>
  <c r="P10" i="5"/>
  <c r="P8" i="5"/>
  <c r="O13" i="5"/>
  <c r="Q13" i="5" s="1"/>
  <c r="AE12" i="5"/>
  <c r="AD12" i="5"/>
  <c r="K12" i="5"/>
  <c r="J12" i="5"/>
  <c r="L6" i="5"/>
  <c r="AU12" i="5" l="1"/>
  <c r="AU14" i="5" s="1"/>
  <c r="AU16" i="5" s="1"/>
  <c r="AU31" i="5"/>
  <c r="AU33" i="5" s="1"/>
  <c r="AP12" i="5"/>
  <c r="AP14" i="5" s="1"/>
  <c r="AU50" i="5"/>
  <c r="AU52" i="5" s="1"/>
  <c r="AP31" i="5"/>
  <c r="AP33" i="5" s="1"/>
  <c r="AP50" i="5"/>
  <c r="AP52" i="5" s="1"/>
  <c r="Q6" i="5"/>
  <c r="L12" i="5"/>
  <c r="L14" i="5" s="1"/>
  <c r="E59" i="11" s="1"/>
  <c r="Q31" i="5"/>
  <c r="AF31" i="5"/>
  <c r="AF33" i="5" s="1"/>
  <c r="V31" i="5"/>
  <c r="V33" i="5" s="1"/>
  <c r="Q50" i="5"/>
  <c r="Q52" i="5" s="1"/>
  <c r="L31" i="5"/>
  <c r="L33" i="5" s="1"/>
  <c r="L50" i="5"/>
  <c r="L52" i="5" s="1"/>
  <c r="AK50" i="5"/>
  <c r="AK52" i="5" s="1"/>
  <c r="AK12" i="5"/>
  <c r="AK14" i="5" s="1"/>
  <c r="E54" i="11" s="1"/>
  <c r="V12" i="5"/>
  <c r="V14" i="5" s="1"/>
  <c r="E57" i="11" s="1"/>
  <c r="AA31" i="5"/>
  <c r="AA33" i="5" s="1"/>
  <c r="AK31" i="5"/>
  <c r="AK33" i="5" s="1"/>
  <c r="AF50" i="5"/>
  <c r="AF52" i="5" s="1"/>
  <c r="AA50" i="5"/>
  <c r="AA52" i="5" s="1"/>
  <c r="V50" i="5"/>
  <c r="V52" i="5" s="1"/>
  <c r="AA12" i="5"/>
  <c r="AA14" i="5" s="1"/>
  <c r="E56" i="11" s="1"/>
  <c r="AF12" i="5"/>
  <c r="AF14" i="5" s="1"/>
  <c r="E55" i="11" s="1"/>
  <c r="Q9" i="5"/>
  <c r="Q10" i="5"/>
  <c r="Q11" i="5"/>
  <c r="Q7" i="5"/>
  <c r="Q8" i="5"/>
  <c r="E52" i="11" l="1"/>
  <c r="AU54" i="5"/>
  <c r="G43" i="11" s="1"/>
  <c r="G52" i="11"/>
  <c r="AU35" i="5"/>
  <c r="F43" i="11" s="1"/>
  <c r="F52" i="11"/>
  <c r="AP35" i="5"/>
  <c r="F44" i="11" s="1"/>
  <c r="F53" i="11"/>
  <c r="AP16" i="5"/>
  <c r="E53" i="11"/>
  <c r="AP54" i="5"/>
  <c r="G44" i="11" s="1"/>
  <c r="G53" i="11"/>
  <c r="B43" i="11"/>
  <c r="E43" i="11"/>
  <c r="F54" i="11"/>
  <c r="G54" i="11"/>
  <c r="F59" i="11"/>
  <c r="G57" i="11"/>
  <c r="G55" i="11"/>
  <c r="F56" i="11"/>
  <c r="G59" i="11"/>
  <c r="G58" i="11"/>
  <c r="F55" i="11"/>
  <c r="G56" i="11"/>
  <c r="F57" i="11"/>
  <c r="Q33" i="5"/>
  <c r="L16" i="5"/>
  <c r="V54" i="5"/>
  <c r="AA35" i="5"/>
  <c r="AK16" i="5"/>
  <c r="L54" i="5"/>
  <c r="AA16" i="5"/>
  <c r="AA54" i="5"/>
  <c r="AK35" i="5"/>
  <c r="V16" i="5"/>
  <c r="AK54" i="5"/>
  <c r="L35" i="5"/>
  <c r="V35" i="5"/>
  <c r="AF16" i="5"/>
  <c r="E46" i="11" s="1"/>
  <c r="AF54" i="5"/>
  <c r="G46" i="11" s="1"/>
  <c r="Q54" i="5"/>
  <c r="AF35" i="5"/>
  <c r="F46" i="11" s="1"/>
  <c r="Q12" i="5"/>
  <c r="Q14" i="5" s="1"/>
  <c r="E58" i="11" s="1"/>
  <c r="E44" i="11" l="1"/>
  <c r="B44" i="11"/>
  <c r="B47" i="11"/>
  <c r="E47" i="11"/>
  <c r="B45" i="11"/>
  <c r="E45" i="11"/>
  <c r="B46" i="11"/>
  <c r="B48" i="11"/>
  <c r="E48" i="11"/>
  <c r="B50" i="11"/>
  <c r="E50" i="11"/>
  <c r="F48" i="11"/>
  <c r="G45" i="11"/>
  <c r="G48" i="11"/>
  <c r="G49" i="11"/>
  <c r="F50" i="11"/>
  <c r="G47" i="11"/>
  <c r="G50" i="11"/>
  <c r="F47" i="11"/>
  <c r="F45" i="11"/>
  <c r="F58" i="11"/>
  <c r="Q35" i="5"/>
  <c r="Q16" i="5"/>
  <c r="B49" i="11" l="1"/>
  <c r="E49" i="11"/>
  <c r="F49" i="11"/>
  <c r="B29" i="5" l="1"/>
  <c r="C57" i="11" l="1"/>
  <c r="C52" i="11"/>
  <c r="C43" i="11"/>
  <c r="C53" i="11"/>
  <c r="C44" i="11"/>
  <c r="C50" i="11"/>
  <c r="C56" i="11"/>
  <c r="C49" i="11"/>
  <c r="C58" i="11"/>
  <c r="C55" i="11"/>
  <c r="C45" i="11"/>
  <c r="C47" i="11"/>
  <c r="C59" i="11"/>
  <c r="C54" i="11"/>
  <c r="C48" i="11"/>
  <c r="C46" i="11"/>
</calcChain>
</file>

<file path=xl/sharedStrings.xml><?xml version="1.0" encoding="utf-8"?>
<sst xmlns="http://schemas.openxmlformats.org/spreadsheetml/2006/main" count="391" uniqueCount="97">
  <si>
    <t>Zins</t>
  </si>
  <si>
    <t>EAGH</t>
  </si>
  <si>
    <t>EAGS</t>
  </si>
  <si>
    <t>Alter</t>
  </si>
  <si>
    <t>Umwandlungssatz</t>
  </si>
  <si>
    <t>Geburtsdatum</t>
  </si>
  <si>
    <t>Geschlecht</t>
  </si>
  <si>
    <t>Barwert</t>
  </si>
  <si>
    <t>Standard</t>
  </si>
  <si>
    <t>Plus</t>
  </si>
  <si>
    <t>Jahrgang</t>
  </si>
  <si>
    <t>Top</t>
  </si>
  <si>
    <t>max. Dauer</t>
  </si>
  <si>
    <t>eff. Dauer</t>
  </si>
  <si>
    <t>Datum</t>
  </si>
  <si>
    <t>Jahre / Monate</t>
  </si>
  <si>
    <t>Altersrente</t>
  </si>
  <si>
    <t>Gemeldeter Jahreslohn</t>
  </si>
  <si>
    <t>Wahlplan</t>
  </si>
  <si>
    <t>Kapital mit 60 Jahren</t>
  </si>
  <si>
    <t>Kapital mit 61 Jahren</t>
  </si>
  <si>
    <t>Kapital mit 62 Jahren</t>
  </si>
  <si>
    <t>Kapital mit 63 Jahren</t>
  </si>
  <si>
    <t>Kapital mit 64 Jahren</t>
  </si>
  <si>
    <t>Kapital mit 65 Jahren</t>
  </si>
  <si>
    <t>Berechnungen</t>
  </si>
  <si>
    <t>Arbeitnehmer</t>
  </si>
  <si>
    <t>Arbeitgeber</t>
  </si>
  <si>
    <t>Beiträge ab 2020</t>
  </si>
  <si>
    <t>Umwandlungssätze Männer im Alter 65 ab 2020</t>
  </si>
  <si>
    <t>Umwandlungssätze Frauen im Alter 64 ab 2020</t>
  </si>
  <si>
    <t>AGS Standard</t>
  </si>
  <si>
    <t>Endalterskapital 65</t>
  </si>
  <si>
    <t>Endalterskapital 64</t>
  </si>
  <si>
    <t>Endalterskapital 63</t>
  </si>
  <si>
    <t>Endalterskapital 62</t>
  </si>
  <si>
    <t>Endalterskapital 61</t>
  </si>
  <si>
    <t>Endalterskapital 60</t>
  </si>
  <si>
    <t>AGS Plus</t>
  </si>
  <si>
    <t>AGS Top</t>
  </si>
  <si>
    <t>alle Beträge in CHF</t>
  </si>
  <si>
    <t>vers. Lohn</t>
  </si>
  <si>
    <t>AGH erfasst</t>
  </si>
  <si>
    <t>BVG-Alter</t>
  </si>
  <si>
    <t>AGS aktuell in %</t>
  </si>
  <si>
    <t>AGS aktuell</t>
  </si>
  <si>
    <t>AGH Ende Jahr</t>
  </si>
  <si>
    <t>Versicherter Lohn (gemäss Ausweis)</t>
  </si>
  <si>
    <t>Gemeldeter Jahreslohn (gemäss Ausweis)</t>
  </si>
  <si>
    <t xml:space="preserve">Versicherter Lohn </t>
  </si>
  <si>
    <t>Daten</t>
  </si>
  <si>
    <t>Gewünschte Mutation</t>
  </si>
  <si>
    <t>Wahlplan aktuell</t>
  </si>
  <si>
    <t>Mutation</t>
  </si>
  <si>
    <t>Einkaufsbetrag</t>
  </si>
  <si>
    <t>WEF-Bezug</t>
  </si>
  <si>
    <t>Monate</t>
  </si>
  <si>
    <t>EE/WEF Ende Jahr</t>
  </si>
  <si>
    <t>Wahlplan neu</t>
  </si>
  <si>
    <t>Folgejahr</t>
  </si>
  <si>
    <t>Altersgutschrift 2020</t>
  </si>
  <si>
    <t>Einkauf / WEF auf Ende Jahr berechnet</t>
  </si>
  <si>
    <t>AGS und AGH aktuell auf Ende Jahr berechnet</t>
  </si>
  <si>
    <t>bitte wählen</t>
  </si>
  <si>
    <t>Mutation gültig ab (nur auf den 1. jeden Monats möglich)</t>
  </si>
  <si>
    <t>Jährliche Altersrente mit 58 Jahren</t>
  </si>
  <si>
    <t>Jahrliche Altersrente mit 59 Jahren</t>
  </si>
  <si>
    <t>Kapital mit 58 Jahren</t>
  </si>
  <si>
    <t>Kapital mit 59 Jahren</t>
  </si>
  <si>
    <t>Vorname / Name</t>
  </si>
  <si>
    <t>in CHF</t>
  </si>
  <si>
    <t xml:space="preserve">in CHF </t>
  </si>
  <si>
    <t>TT.MM.JJJJ</t>
  </si>
  <si>
    <t>-</t>
  </si>
  <si>
    <t>01.MM.JJJJ</t>
  </si>
  <si>
    <t>Wahlplan neu (Wechsel nur jeweils per  01. 01. möglich)</t>
  </si>
  <si>
    <t>Einkauf (maximal mögliche provisorische Einkaufssumme - siehe Ausweis)</t>
  </si>
  <si>
    <t>WEF-Bezug (maximal möglicher Vorbezug - siehe Ausweis)</t>
  </si>
  <si>
    <t>Bitte Erfassung der nachfolgenden Daten gemäss letztgültigem Vorsorgeausweis der PK SBV:</t>
  </si>
  <si>
    <t>Wahlplan (gemäss Ausweis)</t>
  </si>
  <si>
    <t>Höhe Sparkapital (gemäss Ausweis)</t>
  </si>
  <si>
    <t>Stand Sparkapital per (gemäss Ausweis)</t>
  </si>
  <si>
    <r>
      <t xml:space="preserve">in </t>
    </r>
    <r>
      <rPr>
        <strike/>
        <sz val="10"/>
        <rFont val="Calibri"/>
        <family val="2"/>
        <scheme val="minor"/>
      </rPr>
      <t>+</t>
    </r>
    <r>
      <rPr>
        <sz val="10"/>
        <rFont val="Calibri"/>
        <family val="2"/>
        <scheme val="minor"/>
      </rPr>
      <t>CHF</t>
    </r>
  </si>
  <si>
    <r>
      <t xml:space="preserve">in </t>
    </r>
    <r>
      <rPr>
        <strike/>
        <sz val="10"/>
        <rFont val="Calibri"/>
        <family val="2"/>
        <scheme val="minor"/>
      </rPr>
      <t>-</t>
    </r>
    <r>
      <rPr>
        <sz val="10"/>
        <rFont val="Calibri"/>
        <family val="2"/>
        <scheme val="minor"/>
      </rPr>
      <t>CHF</t>
    </r>
  </si>
  <si>
    <r>
      <rPr>
        <b/>
        <sz val="12"/>
        <rFont val="Calibri"/>
        <family val="2"/>
        <scheme val="minor"/>
      </rPr>
      <t>+</t>
    </r>
  </si>
  <si>
    <t>Jährliche Altersrente mit 60 Jahren</t>
  </si>
  <si>
    <t>Jährliche Altersrente mit 61 Jahren</t>
  </si>
  <si>
    <t>Jährliche Altersrente mit 62 Jahren</t>
  </si>
  <si>
    <t>Jährliche Altersrente mit 63 Jahren</t>
  </si>
  <si>
    <t>Jährliche Altersrente mit 64 Jahren</t>
  </si>
  <si>
    <t>Jährliche Altersrente mit 65 Jahren</t>
  </si>
  <si>
    <t>Endalterskapital 59</t>
  </si>
  <si>
    <t>Endalterskapital 58</t>
  </si>
  <si>
    <t>Endalterskapital</t>
  </si>
  <si>
    <t>Wechsel Wahlplan</t>
  </si>
  <si>
    <t>Die Leistungen sind mit 1.25% hochgerechnet und stellen eine unverbindliche Zusammenstellung der heute bestehenden bzw. zu erwartenden Ansprüche gegenüber der Pensionskasse dar. Grundlage bildet jeweils das gültige Reglement.</t>
  </si>
  <si>
    <t>Berechnung der Altersleistungen nach Vorsorgereglement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</si>
</sst>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00%"/>
    <numFmt numFmtId="165" formatCode="#,##0_ ;\-#,##0\ "/>
  </numFmts>
  <fonts count="20" x14ac:knownFonts="1"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2"/>
      <color theme="1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10"/>
      <color indexed="8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Verdana"/>
      <family val="2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Verdana"/>
      <family val="2"/>
    </font>
    <font>
      <strike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10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9" fontId="0" fillId="0" borderId="0" xfId="0" applyNumberFormat="1"/>
    <xf numFmtId="10" fontId="0" fillId="0" borderId="0" xfId="0" applyNumberFormat="1" applyAlignment="1">
      <alignment horizontal="center"/>
    </xf>
    <xf numFmtId="0" fontId="1" fillId="4" borderId="0" xfId="0" applyFont="1" applyFill="1"/>
    <xf numFmtId="0" fontId="6" fillId="5" borderId="1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0" borderId="3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43" fontId="7" fillId="0" borderId="0" xfId="1" applyFont="1" applyBorder="1" applyAlignment="1" applyProtection="1">
      <alignment horizontal="right"/>
      <protection locked="0"/>
    </xf>
    <xf numFmtId="9" fontId="7" fillId="0" borderId="0" xfId="0" applyNumberFormat="1" applyFont="1" applyAlignment="1" applyProtection="1">
      <alignment horizontal="right"/>
      <protection locked="0"/>
    </xf>
    <xf numFmtId="9" fontId="7" fillId="6" borderId="6" xfId="0" applyNumberFormat="1" applyFont="1" applyFill="1" applyBorder="1" applyAlignment="1" applyProtection="1">
      <alignment horizontal="right"/>
      <protection locked="0"/>
    </xf>
    <xf numFmtId="14" fontId="7" fillId="6" borderId="6" xfId="0" applyNumberFormat="1" applyFont="1" applyFill="1" applyBorder="1" applyAlignment="1" applyProtection="1">
      <alignment horizontal="right"/>
      <protection locked="0"/>
    </xf>
    <xf numFmtId="0" fontId="7" fillId="6" borderId="6" xfId="0" applyFont="1" applyFill="1" applyBorder="1" applyAlignment="1" applyProtection="1">
      <alignment horizontal="right"/>
      <protection locked="0"/>
    </xf>
    <xf numFmtId="43" fontId="7" fillId="6" borderId="6" xfId="1" applyFont="1" applyFill="1" applyBorder="1" applyAlignment="1" applyProtection="1">
      <alignment horizontal="right"/>
      <protection locked="0"/>
    </xf>
    <xf numFmtId="0" fontId="9" fillId="0" borderId="0" xfId="0" applyFont="1" applyProtection="1">
      <protection hidden="1"/>
    </xf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horizontal="right" indent="2"/>
      <protection hidden="1"/>
    </xf>
    <xf numFmtId="0" fontId="10" fillId="0" borderId="0" xfId="0" applyFont="1" applyProtection="1">
      <protection hidden="1"/>
    </xf>
    <xf numFmtId="164" fontId="9" fillId="0" borderId="0" xfId="1" applyNumberFormat="1" applyFont="1" applyAlignment="1" applyProtection="1">
      <alignment horizontal="right"/>
      <protection hidden="1"/>
    </xf>
    <xf numFmtId="3" fontId="9" fillId="0" borderId="0" xfId="1" applyNumberFormat="1" applyFont="1" applyAlignment="1" applyProtection="1">
      <alignment horizontal="right"/>
      <protection hidden="1"/>
    </xf>
    <xf numFmtId="164" fontId="9" fillId="0" borderId="0" xfId="1" applyNumberFormat="1" applyFont="1" applyProtection="1">
      <protection hidden="1"/>
    </xf>
    <xf numFmtId="0" fontId="4" fillId="0" borderId="0" xfId="0" applyFont="1" applyProtection="1">
      <protection hidden="1"/>
    </xf>
    <xf numFmtId="0" fontId="8" fillId="0" borderId="0" xfId="0" applyFont="1" applyProtection="1">
      <protection hidden="1"/>
    </xf>
    <xf numFmtId="14" fontId="7" fillId="3" borderId="6" xfId="0" applyNumberFormat="1" applyFont="1" applyFill="1" applyBorder="1" applyAlignment="1" applyProtection="1">
      <alignment horizontal="right"/>
      <protection locked="0"/>
    </xf>
    <xf numFmtId="3" fontId="9" fillId="0" borderId="0" xfId="1" applyNumberFormat="1" applyFont="1" applyAlignment="1" applyProtection="1">
      <protection hidden="1"/>
    </xf>
    <xf numFmtId="43" fontId="7" fillId="3" borderId="6" xfId="1" applyFont="1" applyFill="1" applyBorder="1" applyAlignment="1" applyProtection="1">
      <alignment horizontal="right"/>
      <protection locked="0"/>
    </xf>
    <xf numFmtId="14" fontId="10" fillId="0" borderId="0" xfId="1" applyNumberFormat="1" applyFont="1" applyAlignment="1" applyProtection="1">
      <alignment horizontal="right"/>
      <protection hidden="1"/>
    </xf>
    <xf numFmtId="14" fontId="7" fillId="0" borderId="0" xfId="0" applyNumberFormat="1" applyFont="1" applyAlignment="1" applyProtection="1">
      <alignment horizontal="left"/>
      <protection locked="0"/>
    </xf>
    <xf numFmtId="14" fontId="7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right"/>
      <protection locked="0"/>
    </xf>
    <xf numFmtId="43" fontId="7" fillId="0" borderId="0" xfId="1" applyFont="1" applyFill="1" applyBorder="1" applyAlignment="1" applyProtection="1">
      <alignment horizontal="right"/>
      <protection locked="0"/>
    </xf>
    <xf numFmtId="3" fontId="9" fillId="0" borderId="0" xfId="1" applyNumberFormat="1" applyFont="1" applyFill="1" applyAlignment="1" applyProtection="1">
      <alignment horizontal="right"/>
      <protection hidden="1"/>
    </xf>
    <xf numFmtId="0" fontId="14" fillId="0" borderId="0" xfId="0" applyFont="1" applyProtection="1">
      <protection hidden="1"/>
    </xf>
    <xf numFmtId="0" fontId="15" fillId="0" borderId="0" xfId="0" applyFont="1" applyAlignment="1" applyProtection="1">
      <alignment horizontal="right"/>
      <protection hidden="1"/>
    </xf>
    <xf numFmtId="14" fontId="9" fillId="0" borderId="0" xfId="0" applyNumberFormat="1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43" fontId="9" fillId="0" borderId="0" xfId="1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right"/>
      <protection hidden="1"/>
    </xf>
    <xf numFmtId="164" fontId="0" fillId="0" borderId="5" xfId="0" applyNumberFormat="1" applyBorder="1" applyAlignment="1">
      <alignment horizontal="center"/>
    </xf>
    <xf numFmtId="0" fontId="1" fillId="0" borderId="0" xfId="0" applyFont="1" applyProtection="1">
      <protection hidden="1"/>
    </xf>
    <xf numFmtId="0" fontId="0" fillId="4" borderId="0" xfId="0" applyFill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2" borderId="0" xfId="0" applyFill="1" applyAlignment="1" applyProtection="1">
      <alignment horizontal="left"/>
      <protection hidden="1"/>
    </xf>
    <xf numFmtId="1" fontId="0" fillId="2" borderId="0" xfId="0" applyNumberFormat="1" applyFill="1" applyAlignment="1" applyProtection="1">
      <alignment horizontal="right"/>
      <protection hidden="1"/>
    </xf>
    <xf numFmtId="3" fontId="0" fillId="4" borderId="0" xfId="0" applyNumberFormat="1" applyFill="1" applyProtection="1">
      <protection hidden="1"/>
    </xf>
    <xf numFmtId="0" fontId="0" fillId="0" borderId="4" xfId="0" applyBorder="1" applyProtection="1">
      <protection hidden="1"/>
    </xf>
    <xf numFmtId="0" fontId="0" fillId="0" borderId="3" xfId="0" applyBorder="1" applyProtection="1">
      <protection hidden="1"/>
    </xf>
    <xf numFmtId="0" fontId="0" fillId="2" borderId="0" xfId="0" applyFill="1" applyProtection="1">
      <protection hidden="1"/>
    </xf>
    <xf numFmtId="14" fontId="0" fillId="2" borderId="0" xfId="0" applyNumberFormat="1" applyFill="1" applyAlignment="1" applyProtection="1">
      <alignment horizontal="right"/>
      <protection hidden="1"/>
    </xf>
    <xf numFmtId="1" fontId="0" fillId="0" borderId="0" xfId="0" applyNumberFormat="1" applyProtection="1">
      <protection hidden="1"/>
    </xf>
    <xf numFmtId="14" fontId="0" fillId="4" borderId="0" xfId="0" applyNumberFormat="1" applyFill="1" applyProtection="1">
      <protection hidden="1"/>
    </xf>
    <xf numFmtId="14" fontId="0" fillId="2" borderId="0" xfId="0" applyNumberFormat="1" applyFill="1" applyAlignment="1" applyProtection="1">
      <alignment horizontal="left"/>
      <protection hidden="1"/>
    </xf>
    <xf numFmtId="1" fontId="0" fillId="2" borderId="0" xfId="0" applyNumberFormat="1" applyFill="1" applyProtection="1">
      <protection hidden="1"/>
    </xf>
    <xf numFmtId="10" fontId="0" fillId="4" borderId="0" xfId="0" applyNumberFormat="1" applyFill="1" applyProtection="1">
      <protection hidden="1"/>
    </xf>
    <xf numFmtId="0" fontId="0" fillId="0" borderId="0" xfId="0" applyAlignment="1" applyProtection="1">
      <alignment horizontal="center"/>
      <protection hidden="1"/>
    </xf>
    <xf numFmtId="10" fontId="0" fillId="0" borderId="1" xfId="0" applyNumberFormat="1" applyBorder="1" applyAlignment="1" applyProtection="1">
      <alignment horizontal="center"/>
      <protection hidden="1"/>
    </xf>
    <xf numFmtId="3" fontId="0" fillId="0" borderId="1" xfId="0" applyNumberFormat="1" applyBorder="1" applyAlignment="1" applyProtection="1">
      <alignment horizontal="right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right"/>
      <protection hidden="1"/>
    </xf>
    <xf numFmtId="0" fontId="1" fillId="4" borderId="0" xfId="0" applyFont="1" applyFill="1" applyAlignment="1" applyProtection="1">
      <alignment horizontal="right"/>
      <protection hidden="1"/>
    </xf>
    <xf numFmtId="3" fontId="0" fillId="0" borderId="0" xfId="0" applyNumberFormat="1" applyAlignment="1" applyProtection="1">
      <alignment horizontal="center"/>
      <protection hidden="1"/>
    </xf>
    <xf numFmtId="14" fontId="0" fillId="0" borderId="0" xfId="0" applyNumberFormat="1" applyAlignment="1" applyProtection="1">
      <alignment horizontal="left"/>
      <protection hidden="1"/>
    </xf>
    <xf numFmtId="1" fontId="0" fillId="0" borderId="0" xfId="0" applyNumberFormat="1" applyAlignment="1" applyProtection="1">
      <alignment horizontal="center"/>
      <protection hidden="1"/>
    </xf>
    <xf numFmtId="14" fontId="0" fillId="2" borderId="0" xfId="0" applyNumberFormat="1" applyFill="1" applyProtection="1">
      <protection hidden="1"/>
    </xf>
    <xf numFmtId="3" fontId="0" fillId="0" borderId="0" xfId="0" applyNumberFormat="1" applyProtection="1">
      <protection hidden="1"/>
    </xf>
    <xf numFmtId="3" fontId="0" fillId="0" borderId="1" xfId="0" applyNumberFormat="1" applyBorder="1" applyProtection="1">
      <protection hidden="1"/>
    </xf>
    <xf numFmtId="3" fontId="0" fillId="3" borderId="1" xfId="0" applyNumberFormat="1" applyFill="1" applyBorder="1" applyAlignment="1" applyProtection="1">
      <alignment horizontal="right"/>
      <protection hidden="1"/>
    </xf>
    <xf numFmtId="0" fontId="0" fillId="0" borderId="2" xfId="0" applyBorder="1" applyAlignment="1" applyProtection="1">
      <alignment horizontal="right"/>
      <protection hidden="1"/>
    </xf>
    <xf numFmtId="3" fontId="0" fillId="2" borderId="0" xfId="0" applyNumberFormat="1" applyFill="1" applyProtection="1">
      <protection hidden="1"/>
    </xf>
    <xf numFmtId="3" fontId="0" fillId="0" borderId="4" xfId="0" applyNumberFormat="1" applyBorder="1" applyProtection="1">
      <protection hidden="1"/>
    </xf>
    <xf numFmtId="3" fontId="0" fillId="0" borderId="3" xfId="0" applyNumberFormat="1" applyBorder="1" applyProtection="1">
      <protection hidden="1"/>
    </xf>
    <xf numFmtId="0" fontId="0" fillId="0" borderId="4" xfId="0" applyBorder="1" applyAlignment="1" applyProtection="1">
      <alignment horizontal="right"/>
      <protection hidden="1"/>
    </xf>
    <xf numFmtId="1" fontId="0" fillId="0" borderId="4" xfId="0" applyNumberFormat="1" applyBorder="1" applyAlignment="1" applyProtection="1">
      <alignment horizontal="center"/>
      <protection hidden="1"/>
    </xf>
    <xf numFmtId="3" fontId="0" fillId="2" borderId="3" xfId="0" applyNumberFormat="1" applyFill="1" applyBorder="1" applyAlignment="1" applyProtection="1">
      <alignment horizontal="right"/>
      <protection hidden="1"/>
    </xf>
    <xf numFmtId="0" fontId="0" fillId="0" borderId="5" xfId="0" applyBorder="1" applyAlignment="1" applyProtection="1">
      <alignment horizontal="right"/>
      <protection hidden="1"/>
    </xf>
    <xf numFmtId="0" fontId="0" fillId="0" borderId="0" xfId="0" applyAlignment="1" applyProtection="1">
      <alignment horizontal="left"/>
      <protection hidden="1"/>
    </xf>
    <xf numFmtId="0" fontId="0" fillId="3" borderId="0" xfId="0" applyFill="1" applyProtection="1">
      <protection hidden="1"/>
    </xf>
    <xf numFmtId="3" fontId="1" fillId="0" borderId="1" xfId="0" applyNumberFormat="1" applyFont="1" applyBorder="1" applyAlignment="1" applyProtection="1">
      <alignment horizontal="right"/>
      <protection hidden="1"/>
    </xf>
    <xf numFmtId="164" fontId="0" fillId="0" borderId="0" xfId="0" applyNumberFormat="1" applyProtection="1">
      <protection hidden="1"/>
    </xf>
    <xf numFmtId="4" fontId="0" fillId="2" borderId="0" xfId="0" applyNumberFormat="1" applyFill="1" applyProtection="1">
      <protection hidden="1"/>
    </xf>
    <xf numFmtId="3" fontId="0" fillId="0" borderId="0" xfId="0" applyNumberFormat="1" applyAlignment="1" applyProtection="1">
      <alignment horizontal="right"/>
      <protection hidden="1"/>
    </xf>
    <xf numFmtId="10" fontId="0" fillId="2" borderId="0" xfId="0" applyNumberFormat="1" applyFill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1" fillId="0" borderId="0" xfId="0" applyFont="1" applyAlignment="1" applyProtection="1">
      <alignment horizontal="center"/>
      <protection hidden="1"/>
    </xf>
    <xf numFmtId="4" fontId="0" fillId="8" borderId="0" xfId="0" applyNumberFormat="1" applyFill="1" applyProtection="1">
      <protection hidden="1"/>
    </xf>
    <xf numFmtId="10" fontId="0" fillId="0" borderId="0" xfId="0" applyNumberFormat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4" fontId="0" fillId="0" borderId="0" xfId="0" applyNumberFormat="1" applyProtection="1">
      <protection hidden="1"/>
    </xf>
    <xf numFmtId="4" fontId="0" fillId="2" borderId="0" xfId="0" applyNumberFormat="1" applyFill="1" applyAlignment="1" applyProtection="1">
      <alignment horizontal="center"/>
      <protection hidden="1"/>
    </xf>
    <xf numFmtId="0" fontId="0" fillId="3" borderId="0" xfId="0" applyFill="1" applyAlignment="1" applyProtection="1">
      <alignment horizontal="left"/>
      <protection hidden="1"/>
    </xf>
    <xf numFmtId="4" fontId="0" fillId="3" borderId="0" xfId="0" applyNumberFormat="1" applyFill="1" applyAlignment="1" applyProtection="1">
      <alignment horizontal="right"/>
      <protection hidden="1"/>
    </xf>
    <xf numFmtId="14" fontId="0" fillId="3" borderId="0" xfId="0" applyNumberFormat="1" applyFill="1" applyAlignment="1" applyProtection="1">
      <alignment horizontal="right"/>
      <protection hidden="1"/>
    </xf>
    <xf numFmtId="4" fontId="0" fillId="3" borderId="0" xfId="0" applyNumberFormat="1" applyFill="1" applyProtection="1">
      <protection hidden="1"/>
    </xf>
    <xf numFmtId="4" fontId="0" fillId="0" borderId="0" xfId="0" applyNumberFormat="1" applyAlignment="1" applyProtection="1">
      <alignment horizontal="right"/>
      <protection hidden="1"/>
    </xf>
    <xf numFmtId="14" fontId="0" fillId="3" borderId="0" xfId="0" applyNumberFormat="1" applyFill="1" applyAlignment="1" applyProtection="1">
      <alignment horizontal="left"/>
      <protection hidden="1"/>
    </xf>
    <xf numFmtId="1" fontId="0" fillId="3" borderId="0" xfId="0" applyNumberFormat="1" applyFill="1" applyAlignment="1" applyProtection="1">
      <alignment horizontal="right"/>
      <protection hidden="1"/>
    </xf>
    <xf numFmtId="4" fontId="0" fillId="7" borderId="0" xfId="0" applyNumberFormat="1" applyFill="1" applyProtection="1">
      <protection hidden="1"/>
    </xf>
    <xf numFmtId="0" fontId="1" fillId="2" borderId="0" xfId="0" applyFont="1" applyFill="1" applyProtection="1">
      <protection hidden="1"/>
    </xf>
    <xf numFmtId="3" fontId="0" fillId="9" borderId="3" xfId="0" applyNumberFormat="1" applyFill="1" applyBorder="1" applyAlignment="1" applyProtection="1">
      <alignment horizontal="right"/>
      <protection hidden="1"/>
    </xf>
    <xf numFmtId="4" fontId="0" fillId="9" borderId="0" xfId="0" applyNumberFormat="1" applyFill="1" applyProtection="1">
      <protection hidden="1"/>
    </xf>
    <xf numFmtId="164" fontId="9" fillId="0" borderId="0" xfId="1" applyNumberFormat="1" applyFont="1" applyFill="1" applyAlignment="1" applyProtection="1">
      <alignment horizontal="right"/>
      <protection hidden="1"/>
    </xf>
    <xf numFmtId="0" fontId="7" fillId="0" borderId="0" xfId="0" applyFont="1" applyAlignment="1" applyProtection="1">
      <alignment horizontal="right"/>
      <protection hidden="1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7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4" fontId="7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  <xf numFmtId="0" fontId="18" fillId="0" borderId="0" xfId="0" quotePrefix="1" applyFont="1" applyAlignment="1" applyProtection="1">
      <alignment horizontal="right"/>
      <protection locked="0"/>
    </xf>
    <xf numFmtId="0" fontId="19" fillId="0" borderId="0" xfId="0" quotePrefix="1" applyFont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Alignment="1" applyProtection="1">
      <alignment horizontal="right" indent="2"/>
      <protection locked="0"/>
    </xf>
    <xf numFmtId="3" fontId="9" fillId="0" borderId="0" xfId="1" applyNumberFormat="1" applyFont="1" applyFill="1" applyAlignment="1" applyProtection="1">
      <protection locked="0"/>
    </xf>
    <xf numFmtId="165" fontId="12" fillId="0" borderId="0" xfId="1" applyNumberFormat="1" applyFont="1" applyProtection="1">
      <protection locked="0"/>
    </xf>
    <xf numFmtId="165" fontId="12" fillId="0" borderId="0" xfId="0" applyNumberFormat="1" applyFont="1" applyProtection="1">
      <protection locked="0"/>
    </xf>
    <xf numFmtId="43" fontId="12" fillId="0" borderId="0" xfId="1" applyFont="1" applyProtection="1">
      <protection locked="0"/>
    </xf>
    <xf numFmtId="43" fontId="12" fillId="0" borderId="0" xfId="0" applyNumberFormat="1" applyFont="1" applyProtection="1">
      <protection locked="0"/>
    </xf>
    <xf numFmtId="14" fontId="10" fillId="0" borderId="0" xfId="1" applyNumberFormat="1" applyFont="1" applyFill="1" applyAlignment="1" applyProtection="1">
      <alignment horizontal="right"/>
      <protection locked="0"/>
    </xf>
    <xf numFmtId="43" fontId="13" fillId="0" borderId="0" xfId="1" applyFont="1" applyAlignment="1" applyProtection="1">
      <alignment horizontal="right"/>
      <protection locked="0"/>
    </xf>
    <xf numFmtId="43" fontId="13" fillId="0" borderId="0" xfId="0" applyNumberFormat="1" applyFont="1" applyAlignment="1" applyProtection="1">
      <alignment horizontal="right"/>
      <protection locked="0"/>
    </xf>
    <xf numFmtId="43" fontId="0" fillId="0" borderId="0" xfId="0" applyNumberFormat="1" applyProtection="1">
      <protection locked="0"/>
    </xf>
    <xf numFmtId="3" fontId="12" fillId="0" borderId="0" xfId="1" applyNumberFormat="1" applyFont="1" applyAlignment="1" applyProtection="1">
      <alignment horizontal="right"/>
      <protection locked="0"/>
    </xf>
    <xf numFmtId="3" fontId="12" fillId="0" borderId="0" xfId="0" applyNumberFormat="1" applyFont="1" applyAlignment="1" applyProtection="1">
      <alignment horizontal="right"/>
      <protection locked="0"/>
    </xf>
    <xf numFmtId="3" fontId="9" fillId="0" borderId="0" xfId="1" applyNumberFormat="1" applyFont="1" applyFill="1" applyAlignment="1" applyProtection="1">
      <alignment horizontal="right"/>
      <protection locked="0"/>
    </xf>
    <xf numFmtId="0" fontId="11" fillId="0" borderId="0" xfId="0" applyFont="1" applyProtection="1">
      <protection locked="0"/>
    </xf>
    <xf numFmtId="3" fontId="12" fillId="0" borderId="0" xfId="1" applyNumberFormat="1" applyFont="1" applyFill="1" applyAlignment="1" applyProtection="1">
      <alignment horizontal="right"/>
      <protection locked="0"/>
    </xf>
    <xf numFmtId="3" fontId="11" fillId="0" borderId="0" xfId="0" applyNumberFormat="1" applyFont="1" applyProtection="1">
      <protection locked="0"/>
    </xf>
    <xf numFmtId="43" fontId="11" fillId="0" borderId="0" xfId="0" applyNumberFormat="1" applyFont="1" applyProtection="1">
      <protection locked="0"/>
    </xf>
    <xf numFmtId="3" fontId="14" fillId="0" borderId="0" xfId="1" applyNumberFormat="1" applyFont="1" applyFill="1" applyAlignment="1" applyProtection="1">
      <alignment horizontal="right"/>
      <protection locked="0"/>
    </xf>
    <xf numFmtId="0" fontId="16" fillId="0" borderId="0" xfId="0" applyFont="1" applyProtection="1">
      <protection locked="0"/>
    </xf>
    <xf numFmtId="3" fontId="16" fillId="0" borderId="0" xfId="0" applyNumberFormat="1" applyFont="1" applyProtection="1">
      <protection locked="0"/>
    </xf>
    <xf numFmtId="43" fontId="16" fillId="0" borderId="0" xfId="0" applyNumberFormat="1" applyFont="1" applyProtection="1">
      <protection locked="0"/>
    </xf>
    <xf numFmtId="3" fontId="12" fillId="0" borderId="0" xfId="1" applyNumberFormat="1" applyFont="1" applyProtection="1">
      <protection locked="0"/>
    </xf>
    <xf numFmtId="3" fontId="12" fillId="0" borderId="0" xfId="0" applyNumberFormat="1" applyFont="1" applyProtection="1">
      <protection locked="0"/>
    </xf>
    <xf numFmtId="3" fontId="9" fillId="0" borderId="0" xfId="1" applyNumberFormat="1" applyFont="1" applyProtection="1">
      <protection locked="0"/>
    </xf>
    <xf numFmtId="3" fontId="9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10" fontId="0" fillId="3" borderId="0" xfId="0" applyNumberFormat="1" applyFill="1" applyAlignment="1" applyProtection="1">
      <alignment horizontal="right"/>
      <protection hidden="1"/>
    </xf>
    <xf numFmtId="43" fontId="7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1" fillId="0" borderId="5" xfId="0" applyFont="1" applyBorder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/>
      <protection hidden="1"/>
    </xf>
    <xf numFmtId="0" fontId="1" fillId="0" borderId="3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right" vertical="center" wrapText="1"/>
      <protection hidden="1"/>
    </xf>
    <xf numFmtId="0" fontId="0" fillId="0" borderId="0" xfId="0" applyAlignment="1" applyProtection="1">
      <alignment horizontal="right" vertical="center" wrapText="1"/>
      <protection hidden="1"/>
    </xf>
    <xf numFmtId="0" fontId="1" fillId="0" borderId="1" xfId="0" applyFont="1" applyBorder="1" applyAlignment="1" applyProtection="1">
      <alignment horizontal="right" vertical="center" wrapText="1"/>
      <protection hidden="1"/>
    </xf>
    <xf numFmtId="0" fontId="0" fillId="0" borderId="1" xfId="0" applyBorder="1" applyAlignment="1" applyProtection="1">
      <alignment horizontal="right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vertical="center" wrapText="1"/>
      <protection hidden="1"/>
    </xf>
    <xf numFmtId="0" fontId="1" fillId="2" borderId="0" xfId="0" applyFont="1" applyFill="1" applyProtection="1">
      <protection hidden="1"/>
    </xf>
    <xf numFmtId="0" fontId="0" fillId="0" borderId="0" xfId="0"/>
    <xf numFmtId="0" fontId="1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25400</xdr:rowOff>
    </xdr:from>
    <xdr:to>
      <xdr:col>0</xdr:col>
      <xdr:colOff>2578425</xdr:colOff>
      <xdr:row>5</xdr:row>
      <xdr:rowOff>60325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90500"/>
          <a:ext cx="2530800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P65"/>
  <sheetViews>
    <sheetView windowProtection="1" tabSelected="1" topLeftCell="A30" zoomScaleNormal="100" workbookViewId="0">
      <selection activeCell="C69" sqref="C69"/>
    </sheetView>
  </sheetViews>
  <sheetFormatPr baseColWidth="10" defaultColWidth="11" defaultRowHeight="12.75" x14ac:dyDescent="0.2"/>
  <cols>
    <col min="1" max="1" width="52.375" style="118" customWidth="1"/>
    <col min="2" max="2" width="15.625" style="118" customWidth="1"/>
    <col min="3" max="3" width="18.625" style="118" customWidth="1"/>
    <col min="4" max="4" width="1.5" style="118" customWidth="1"/>
    <col min="5" max="9" width="10.5" style="118" customWidth="1"/>
    <col min="10" max="10" width="14.125" style="119" customWidth="1"/>
    <col min="11" max="15" width="10.5" style="118" customWidth="1"/>
    <col min="16" max="16384" width="11" style="118"/>
  </cols>
  <sheetData>
    <row r="7" spans="1:7" ht="15.75" x14ac:dyDescent="0.25">
      <c r="A7" s="117" t="s">
        <v>96</v>
      </c>
      <c r="B7" s="117"/>
    </row>
    <row r="8" spans="1:7" x14ac:dyDescent="0.2">
      <c r="A8" s="120"/>
      <c r="B8" s="120"/>
      <c r="C8" s="120"/>
      <c r="D8" s="120"/>
      <c r="E8" s="120"/>
      <c r="F8" s="120"/>
      <c r="G8" s="120"/>
    </row>
    <row r="9" spans="1:7" x14ac:dyDescent="0.2">
      <c r="A9" s="121" t="s">
        <v>78</v>
      </c>
      <c r="B9" s="122"/>
      <c r="C9" s="120"/>
      <c r="D9" s="120"/>
      <c r="E9" s="120"/>
      <c r="F9" s="120"/>
      <c r="G9" s="120"/>
    </row>
    <row r="10" spans="1:7" x14ac:dyDescent="0.2">
      <c r="A10" s="120"/>
      <c r="B10" s="120"/>
      <c r="C10" s="120"/>
      <c r="D10" s="120"/>
      <c r="E10" s="120"/>
      <c r="F10" s="120"/>
      <c r="G10" s="120"/>
    </row>
    <row r="11" spans="1:7" x14ac:dyDescent="0.2">
      <c r="A11" s="120" t="s">
        <v>69</v>
      </c>
      <c r="B11" s="120"/>
      <c r="C11" s="22"/>
      <c r="D11" s="21"/>
      <c r="E11" s="21"/>
      <c r="F11" s="120"/>
      <c r="G11" s="120"/>
    </row>
    <row r="12" spans="1:7" ht="9.9499999999999993" customHeight="1" x14ac:dyDescent="0.2">
      <c r="A12" s="120"/>
      <c r="B12" s="120"/>
      <c r="C12" s="43"/>
      <c r="D12" s="43"/>
      <c r="E12" s="43"/>
      <c r="F12" s="120"/>
      <c r="G12" s="120"/>
    </row>
    <row r="13" spans="1:7" x14ac:dyDescent="0.2">
      <c r="A13" s="120" t="s">
        <v>5</v>
      </c>
      <c r="B13" s="120"/>
      <c r="C13" s="23"/>
      <c r="D13" s="42"/>
      <c r="E13" s="48" t="s">
        <v>72</v>
      </c>
      <c r="F13" s="120"/>
      <c r="G13" s="120"/>
    </row>
    <row r="14" spans="1:7" ht="9.9499999999999993" customHeight="1" x14ac:dyDescent="0.2">
      <c r="A14" s="120"/>
      <c r="B14" s="120"/>
      <c r="C14" s="43"/>
      <c r="D14" s="43"/>
      <c r="E14" s="49"/>
      <c r="F14" s="120"/>
      <c r="G14" s="120"/>
    </row>
    <row r="15" spans="1:7" x14ac:dyDescent="0.2">
      <c r="A15" s="120" t="s">
        <v>6</v>
      </c>
      <c r="B15" s="120"/>
      <c r="C15" s="24"/>
      <c r="D15" s="43"/>
      <c r="E15" s="49"/>
      <c r="F15" s="120"/>
      <c r="G15" s="120"/>
    </row>
    <row r="16" spans="1:7" ht="9.9499999999999993" customHeight="1" x14ac:dyDescent="0.2">
      <c r="A16" s="120"/>
      <c r="B16" s="120"/>
      <c r="C16" s="43"/>
      <c r="D16" s="43"/>
      <c r="E16" s="49"/>
      <c r="F16" s="120"/>
      <c r="G16" s="120"/>
    </row>
    <row r="17" spans="1:11" x14ac:dyDescent="0.2">
      <c r="A17" s="120" t="s">
        <v>48</v>
      </c>
      <c r="B17" s="120"/>
      <c r="C17" s="25"/>
      <c r="D17" s="44"/>
      <c r="E17" s="50" t="s">
        <v>70</v>
      </c>
      <c r="F17" s="120"/>
      <c r="G17" s="120"/>
    </row>
    <row r="18" spans="1:11" ht="9.9499999999999993" customHeight="1" x14ac:dyDescent="0.2">
      <c r="A18" s="120"/>
      <c r="B18" s="120"/>
      <c r="C18" s="20"/>
      <c r="D18" s="44"/>
      <c r="E18" s="50"/>
      <c r="F18" s="120"/>
      <c r="G18" s="120"/>
    </row>
    <row r="19" spans="1:11" x14ac:dyDescent="0.2">
      <c r="A19" s="120" t="s">
        <v>47</v>
      </c>
      <c r="B19" s="120"/>
      <c r="C19" s="25"/>
      <c r="D19" s="44"/>
      <c r="E19" s="50" t="s">
        <v>70</v>
      </c>
      <c r="F19" s="158"/>
      <c r="G19" s="120"/>
    </row>
    <row r="20" spans="1:11" ht="9.9499999999999993" customHeight="1" x14ac:dyDescent="0.2">
      <c r="A20" s="120"/>
      <c r="B20" s="120"/>
      <c r="C20" s="43"/>
      <c r="D20" s="43"/>
      <c r="E20" s="51"/>
      <c r="F20" s="158"/>
      <c r="G20" s="120"/>
    </row>
    <row r="21" spans="1:11" x14ac:dyDescent="0.2">
      <c r="A21" s="123" t="s">
        <v>79</v>
      </c>
      <c r="B21" s="123"/>
      <c r="C21" s="24"/>
      <c r="D21" s="43"/>
      <c r="E21" s="51"/>
      <c r="F21" s="120"/>
      <c r="G21" s="124"/>
      <c r="K21" s="125"/>
    </row>
    <row r="22" spans="1:11" ht="9.9499999999999993" customHeight="1" x14ac:dyDescent="0.2">
      <c r="A22" s="120"/>
      <c r="B22" s="120"/>
      <c r="C22" s="43"/>
      <c r="D22" s="43"/>
      <c r="E22" s="51"/>
      <c r="F22" s="120"/>
      <c r="G22" s="120"/>
    </row>
    <row r="23" spans="1:11" x14ac:dyDescent="0.2">
      <c r="A23" s="123" t="s">
        <v>80</v>
      </c>
      <c r="B23" s="120"/>
      <c r="C23" s="25"/>
      <c r="D23" s="44"/>
      <c r="E23" s="50" t="s">
        <v>71</v>
      </c>
      <c r="F23" s="120"/>
      <c r="G23" s="120"/>
    </row>
    <row r="24" spans="1:11" ht="12.75" customHeight="1" x14ac:dyDescent="0.2">
      <c r="A24" s="123" t="s">
        <v>81</v>
      </c>
      <c r="B24" s="120"/>
      <c r="C24" s="23"/>
      <c r="D24" s="42"/>
      <c r="E24" s="50" t="s">
        <v>72</v>
      </c>
      <c r="F24" s="120"/>
      <c r="G24" s="120"/>
    </row>
    <row r="25" spans="1:11" x14ac:dyDescent="0.2">
      <c r="A25" s="120"/>
      <c r="B25" s="120"/>
      <c r="C25" s="43"/>
      <c r="D25" s="43"/>
      <c r="E25" s="20"/>
      <c r="F25" s="120"/>
      <c r="G25" s="120"/>
      <c r="J25" s="125"/>
      <c r="K25" s="119"/>
    </row>
    <row r="26" spans="1:11" ht="12.75" customHeight="1" x14ac:dyDescent="0.2">
      <c r="A26" s="120"/>
      <c r="B26" s="120"/>
      <c r="C26" s="20"/>
      <c r="D26" s="44"/>
    </row>
    <row r="27" spans="1:11" x14ac:dyDescent="0.2">
      <c r="A27" s="120" t="s">
        <v>51</v>
      </c>
      <c r="B27" s="120"/>
      <c r="C27" s="37" t="s">
        <v>94</v>
      </c>
      <c r="D27" s="42"/>
      <c r="E27" s="120" t="s">
        <v>63</v>
      </c>
    </row>
    <row r="28" spans="1:11" x14ac:dyDescent="0.2">
      <c r="A28" s="123" t="s">
        <v>75</v>
      </c>
      <c r="B28" s="120"/>
      <c r="C28" s="37"/>
      <c r="D28" s="42"/>
      <c r="E28" s="120" t="str">
        <f>IF($C$27="Wechsel Wahlplan","bitte wählen"," ")</f>
        <v>bitte wählen</v>
      </c>
    </row>
    <row r="29" spans="1:11" ht="15.75" x14ac:dyDescent="0.25">
      <c r="A29" s="123" t="s">
        <v>76</v>
      </c>
      <c r="B29" s="126" t="s">
        <v>84</v>
      </c>
      <c r="C29" s="39"/>
      <c r="D29" s="44"/>
      <c r="E29" s="120" t="s">
        <v>82</v>
      </c>
      <c r="F29" s="120"/>
      <c r="G29" s="120"/>
    </row>
    <row r="30" spans="1:11" ht="15.75" x14ac:dyDescent="0.25">
      <c r="A30" s="123" t="s">
        <v>77</v>
      </c>
      <c r="B30" s="127" t="s">
        <v>73</v>
      </c>
      <c r="C30" s="39"/>
      <c r="D30" s="44"/>
      <c r="E30" s="41" t="s">
        <v>83</v>
      </c>
      <c r="F30" s="120"/>
      <c r="G30" s="120"/>
    </row>
    <row r="31" spans="1:11" x14ac:dyDescent="0.2">
      <c r="A31" s="123" t="s">
        <v>64</v>
      </c>
      <c r="B31" s="120"/>
      <c r="C31" s="37"/>
      <c r="D31" s="42"/>
      <c r="E31" s="123" t="s">
        <v>74</v>
      </c>
      <c r="F31" s="120"/>
      <c r="G31" s="120"/>
    </row>
    <row r="32" spans="1:11" ht="22.5" customHeight="1" x14ac:dyDescent="0.25">
      <c r="A32" s="128"/>
      <c r="B32" s="128"/>
    </row>
    <row r="33" spans="1:16" x14ac:dyDescent="0.2">
      <c r="A33" s="31" t="str">
        <f>C11&amp;" / "&amp;C15&amp;" / "&amp;Berechnung!$C$4&amp;"."&amp;Berechnung!$C$5&amp;"."&amp;YEAR(Berechnung!$B$4)</f>
        <v xml:space="preserve"> /  / 00.01.1900</v>
      </c>
      <c r="B33" s="29"/>
      <c r="C33" s="27"/>
      <c r="E33" s="43"/>
      <c r="F33" s="43"/>
      <c r="G33" s="42"/>
    </row>
    <row r="34" spans="1:16" ht="10.5" customHeight="1" x14ac:dyDescent="0.25">
      <c r="A34" s="28"/>
      <c r="B34" s="28"/>
      <c r="C34" s="116" t="s">
        <v>40</v>
      </c>
      <c r="D34" s="43"/>
      <c r="F34" s="43"/>
      <c r="G34" s="43"/>
    </row>
    <row r="35" spans="1:16" x14ac:dyDescent="0.2">
      <c r="A35" s="36" t="s">
        <v>50</v>
      </c>
      <c r="B35" s="29"/>
      <c r="C35" s="30"/>
      <c r="D35" s="129"/>
      <c r="E35" s="120"/>
      <c r="F35" s="159"/>
      <c r="G35" s="159"/>
    </row>
    <row r="36" spans="1:16" x14ac:dyDescent="0.2">
      <c r="A36" s="26" t="s">
        <v>17</v>
      </c>
      <c r="B36" s="26"/>
      <c r="C36" s="38">
        <f>$C$17</f>
        <v>0</v>
      </c>
      <c r="D36" s="130"/>
      <c r="E36" s="131">
        <f>C17</f>
        <v>0</v>
      </c>
      <c r="F36" s="132">
        <f>E36</f>
        <v>0</v>
      </c>
      <c r="G36" s="132">
        <f t="shared" ref="G36" si="0">F36</f>
        <v>0</v>
      </c>
    </row>
    <row r="37" spans="1:16" x14ac:dyDescent="0.2">
      <c r="A37" s="26" t="s">
        <v>49</v>
      </c>
      <c r="B37" s="26"/>
      <c r="C37" s="38">
        <f>$C$19</f>
        <v>0</v>
      </c>
      <c r="D37" s="130"/>
      <c r="E37" s="131">
        <f>Berechnung!$B$13</f>
        <v>0</v>
      </c>
      <c r="F37" s="132">
        <f>Berechnung!$B$13</f>
        <v>0</v>
      </c>
      <c r="G37" s="132">
        <f>Berechnung!$B$13</f>
        <v>0</v>
      </c>
    </row>
    <row r="38" spans="1:16" x14ac:dyDescent="0.2">
      <c r="A38" s="26" t="str">
        <f>"Stand Sparkapital am "&amp;"0"&amp;DAY($C$24)&amp;"."&amp;"0"&amp;MONTH($C$24)&amp;"."&amp;YEAR($C$24)</f>
        <v>Stand Sparkapital am 00.01.1900</v>
      </c>
      <c r="B38" s="26"/>
      <c r="C38" s="38">
        <f>$C$23</f>
        <v>0</v>
      </c>
      <c r="D38" s="130"/>
      <c r="E38" s="133" t="e">
        <f>Berechnung!$B$21</f>
        <v>#N/A</v>
      </c>
      <c r="F38" s="134" t="e">
        <f>Berechnung!$B$21</f>
        <v>#N/A</v>
      </c>
      <c r="G38" s="134" t="e">
        <f>Berechnung!$B$21</f>
        <v>#N/A</v>
      </c>
    </row>
    <row r="39" spans="1:16" ht="18" customHeight="1" x14ac:dyDescent="0.2">
      <c r="A39" s="26"/>
      <c r="B39" s="26"/>
      <c r="C39" s="27"/>
      <c r="E39" s="133"/>
      <c r="F39" s="134"/>
      <c r="G39" s="134"/>
    </row>
    <row r="40" spans="1:16" x14ac:dyDescent="0.2">
      <c r="A40" s="31" t="s">
        <v>18</v>
      </c>
      <c r="B40" s="47"/>
      <c r="C40" s="40">
        <f>IF($C$27="Einkauf",$C$21,IF($C$27="WEF",$C$21,$C$28))</f>
        <v>0</v>
      </c>
      <c r="D40" s="135"/>
      <c r="E40" s="136" t="s">
        <v>8</v>
      </c>
      <c r="F40" s="137" t="s">
        <v>9</v>
      </c>
      <c r="G40" s="137" t="s">
        <v>11</v>
      </c>
      <c r="P40" s="138"/>
    </row>
    <row r="41" spans="1:16" x14ac:dyDescent="0.2">
      <c r="A41" s="31"/>
      <c r="B41" s="52" t="s">
        <v>4</v>
      </c>
      <c r="C41" s="40"/>
      <c r="D41" s="135"/>
      <c r="E41" s="136"/>
      <c r="F41" s="137"/>
      <c r="G41" s="137"/>
      <c r="P41" s="138"/>
    </row>
    <row r="42" spans="1:16" ht="9.9499999999999993" customHeight="1" x14ac:dyDescent="0.2">
      <c r="A42" s="26"/>
      <c r="B42" s="26"/>
      <c r="C42" s="27"/>
      <c r="E42" s="133"/>
      <c r="F42" s="134"/>
      <c r="G42" s="134"/>
      <c r="M42" s="138"/>
      <c r="N42" s="138"/>
      <c r="O42" s="138"/>
    </row>
    <row r="43" spans="1:16" ht="12.75" customHeight="1" x14ac:dyDescent="0.2">
      <c r="A43" s="26" t="s">
        <v>65</v>
      </c>
      <c r="B43" s="32" t="e">
        <f>IF(Berechnung!$AU$16=0,"-",Berechnung!$AU$15)</f>
        <v>#N/A</v>
      </c>
      <c r="C43" s="33" t="e">
        <f t="shared" ref="C43:C50" si="1">IF($C$40=$E$40,E43,IF($C$40=$F$40,F43,G43))</f>
        <v>#N/A</v>
      </c>
      <c r="E43" s="139" t="e">
        <f>IF(Berechnung!$AU$16=0,"-",Berechnung!$AU$16)</f>
        <v>#N/A</v>
      </c>
      <c r="F43" s="140" t="e">
        <f>IF(Berechnung!$AU$35=0,"-",Berechnung!$AU$35)</f>
        <v>#N/A</v>
      </c>
      <c r="G43" s="140" t="e">
        <f>IF(Berechnung!$AU$54=0,"-",Berechnung!$AU$54)</f>
        <v>#N/A</v>
      </c>
      <c r="M43" s="138"/>
      <c r="N43" s="138"/>
      <c r="O43" s="138"/>
    </row>
    <row r="44" spans="1:16" s="142" customFormat="1" ht="12.75" customHeight="1" x14ac:dyDescent="0.2">
      <c r="A44" s="26" t="s">
        <v>66</v>
      </c>
      <c r="B44" s="115" t="e">
        <f>IF(Berechnung!$AP$16=0,"-",Berechnung!$AP$15)</f>
        <v>#N/A</v>
      </c>
      <c r="C44" s="45" t="e">
        <f t="shared" si="1"/>
        <v>#N/A</v>
      </c>
      <c r="E44" s="143" t="e">
        <f>IF(Berechnung!$AP$16=0,"-",Berechnung!$AP$16)</f>
        <v>#N/A</v>
      </c>
      <c r="F44" s="140" t="e">
        <f>IF(Berechnung!$AP$35=0,"-",Berechnung!$AP$35)</f>
        <v>#N/A</v>
      </c>
      <c r="G44" s="140" t="e">
        <f>IF(Berechnung!$AP$54=0,"-",Berechnung!$AP$54)</f>
        <v>#N/A</v>
      </c>
      <c r="J44" s="144"/>
      <c r="M44" s="145"/>
      <c r="N44" s="145"/>
      <c r="O44" s="145"/>
    </row>
    <row r="45" spans="1:16" x14ac:dyDescent="0.2">
      <c r="A45" s="26" t="s">
        <v>85</v>
      </c>
      <c r="B45" s="32" t="e">
        <f>IF(Berechnung!$AK$16=0,"-",Berechnung!$AK$15)</f>
        <v>#N/A</v>
      </c>
      <c r="C45" s="33" t="e">
        <f t="shared" si="1"/>
        <v>#N/A</v>
      </c>
      <c r="D45" s="141"/>
      <c r="E45" s="139" t="e">
        <f>IF(Berechnung!$AK$16=0,"-",Berechnung!$AK$16)</f>
        <v>#N/A</v>
      </c>
      <c r="F45" s="140" t="e">
        <f>IF(Berechnung!$AK$35=0,"-",Berechnung!$AK$35)</f>
        <v>#N/A</v>
      </c>
      <c r="G45" s="140" t="e">
        <f>IF(Berechnung!$AK$54=0,"-",Berechnung!$AK$54)</f>
        <v>#N/A</v>
      </c>
      <c r="M45" s="138"/>
      <c r="N45" s="138"/>
      <c r="O45" s="138"/>
    </row>
    <row r="46" spans="1:16" s="147" customFormat="1" x14ac:dyDescent="0.2">
      <c r="A46" s="26" t="s">
        <v>86</v>
      </c>
      <c r="B46" s="115" t="e">
        <f>IF(Berechnung!$AF$16=0,"-",Berechnung!$AF$15)</f>
        <v>#N/A</v>
      </c>
      <c r="C46" s="45" t="e">
        <f t="shared" si="1"/>
        <v>#N/A</v>
      </c>
      <c r="D46" s="146"/>
      <c r="E46" s="143" t="e">
        <f>IF(Berechnung!$AF$16=0,"-",Berechnung!$AF$16)</f>
        <v>#N/A</v>
      </c>
      <c r="F46" s="143" t="e">
        <f>IF(Berechnung!$AF$35=0,"-",Berechnung!$AF$35)</f>
        <v>#N/A</v>
      </c>
      <c r="G46" s="143" t="e">
        <f>IF(Berechnung!$AF$54=0,"-",Berechnung!$AF$54)</f>
        <v>#N/A</v>
      </c>
      <c r="J46" s="148"/>
      <c r="M46" s="149"/>
      <c r="N46" s="149"/>
      <c r="O46" s="149"/>
    </row>
    <row r="47" spans="1:16" x14ac:dyDescent="0.2">
      <c r="A47" s="26" t="s">
        <v>87</v>
      </c>
      <c r="B47" s="32" t="e">
        <f>IF(Berechnung!$AA$16=0,"-",Berechnung!$AA$15)</f>
        <v>#N/A</v>
      </c>
      <c r="C47" s="33" t="e">
        <f t="shared" si="1"/>
        <v>#N/A</v>
      </c>
      <c r="D47" s="141"/>
      <c r="E47" s="139" t="e">
        <f>IF(Berechnung!$AA$16=0,"-",Berechnung!$AA$16)</f>
        <v>#N/A</v>
      </c>
      <c r="F47" s="140" t="e">
        <f>IF(Berechnung!$AA$35=0,"-",Berechnung!$AA$35)</f>
        <v>#N/A</v>
      </c>
      <c r="G47" s="140" t="e">
        <f>IF(Berechnung!$AA$54=0,"-",Berechnung!$AA$54)</f>
        <v>#N/A</v>
      </c>
      <c r="M47" s="138"/>
      <c r="N47" s="138"/>
      <c r="O47" s="138"/>
    </row>
    <row r="48" spans="1:16" x14ac:dyDescent="0.2">
      <c r="A48" s="26" t="s">
        <v>88</v>
      </c>
      <c r="B48" s="32" t="e">
        <f>IF(Berechnung!$V$16=0,"-",Berechnung!$V$15)</f>
        <v>#N/A</v>
      </c>
      <c r="C48" s="33" t="e">
        <f t="shared" si="1"/>
        <v>#N/A</v>
      </c>
      <c r="D48" s="141"/>
      <c r="E48" s="139" t="e">
        <f>IF(Berechnung!$V$16=0,"-",Berechnung!$V$16)</f>
        <v>#N/A</v>
      </c>
      <c r="F48" s="140" t="e">
        <f>IF(Berechnung!$V$35=0,"-",Berechnung!$V$35)</f>
        <v>#N/A</v>
      </c>
      <c r="G48" s="140" t="e">
        <f>IF(Berechnung!$V$54=0,"-",Berechnung!$V$54)</f>
        <v>#N/A</v>
      </c>
      <c r="M48" s="138"/>
      <c r="N48" s="138"/>
      <c r="O48" s="138"/>
    </row>
    <row r="49" spans="1:16" x14ac:dyDescent="0.2">
      <c r="A49" s="26" t="s">
        <v>89</v>
      </c>
      <c r="B49" s="32" t="e">
        <f>IF(Berechnung!$Q$16=0,"-",Berechnung!$Q$15)</f>
        <v>#N/A</v>
      </c>
      <c r="C49" s="33" t="e">
        <f t="shared" si="1"/>
        <v>#N/A</v>
      </c>
      <c r="D49" s="141"/>
      <c r="E49" s="139" t="e">
        <f>IF(Berechnung!$Q$16=0,"-",Berechnung!$Q$16)</f>
        <v>#N/A</v>
      </c>
      <c r="F49" s="140" t="e">
        <f>IF(Berechnung!$Q$35=0,"-",Berechnung!$Q$35)</f>
        <v>#N/A</v>
      </c>
      <c r="G49" s="140" t="e">
        <f>IF(Berechnung!$Q$54=0,"-",Berechnung!$Q$54)</f>
        <v>#N/A</v>
      </c>
      <c r="M49" s="138"/>
      <c r="N49" s="138"/>
      <c r="O49" s="138"/>
    </row>
    <row r="50" spans="1:16" x14ac:dyDescent="0.2">
      <c r="A50" s="26" t="s">
        <v>90</v>
      </c>
      <c r="B50" s="34" t="e">
        <f>IF(Berechnung!$L$16=0,"-",Berechnung!$L$15)</f>
        <v>#N/A</v>
      </c>
      <c r="C50" s="33" t="e">
        <f t="shared" si="1"/>
        <v>#N/A</v>
      </c>
      <c r="D50" s="141"/>
      <c r="E50" s="150" t="e">
        <f>IF(Berechnung!$L$16=0,"-",Berechnung!$L$16)</f>
        <v>#N/A</v>
      </c>
      <c r="F50" s="151" t="e">
        <f>IF(Berechnung!$L$35=0,"-",Berechnung!$L$35)</f>
        <v>#N/A</v>
      </c>
      <c r="G50" s="151" t="e">
        <f>IF(Berechnung!$L$54=0,"-",Berechnung!$L$54)</f>
        <v>#N/A</v>
      </c>
      <c r="M50" s="138"/>
      <c r="N50" s="138"/>
      <c r="O50" s="138"/>
    </row>
    <row r="51" spans="1:16" ht="9.9499999999999993" customHeight="1" x14ac:dyDescent="0.2">
      <c r="A51" s="26"/>
      <c r="B51" s="26"/>
      <c r="C51" s="33"/>
      <c r="D51" s="141"/>
      <c r="E51" s="150"/>
      <c r="F51" s="151"/>
      <c r="G51" s="151"/>
      <c r="M51" s="138"/>
      <c r="N51" s="138"/>
      <c r="O51" s="138"/>
    </row>
    <row r="52" spans="1:16" s="147" customFormat="1" ht="12.75" customHeight="1" x14ac:dyDescent="0.2">
      <c r="A52" s="26" t="s">
        <v>67</v>
      </c>
      <c r="B52" s="46"/>
      <c r="C52" s="33" t="e">
        <f t="shared" ref="C52:C59" si="2">IF($C$40=$E$40,E52,IF($C$40=$F$40,F52,G52))</f>
        <v>#N/A</v>
      </c>
      <c r="D52" s="146"/>
      <c r="E52" s="139" t="e">
        <f>IF(Berechnung!$AU$14=0,"-",Berechnung!$AU$14)</f>
        <v>#N/A</v>
      </c>
      <c r="F52" s="139" t="e">
        <f>IF(Berechnung!$AU$33=0,"-",Berechnung!$AU$33)</f>
        <v>#N/A</v>
      </c>
      <c r="G52" s="139" t="e">
        <f>IF(Berechnung!$AU$52=0,"-",Berechnung!$AU$52)</f>
        <v>#N/A</v>
      </c>
      <c r="J52" s="148"/>
      <c r="M52" s="149"/>
      <c r="N52" s="149"/>
      <c r="O52" s="149"/>
    </row>
    <row r="53" spans="1:16" ht="12.75" customHeight="1" x14ac:dyDescent="0.2">
      <c r="A53" s="26" t="s">
        <v>68</v>
      </c>
      <c r="B53" s="26"/>
      <c r="C53" s="45" t="e">
        <f t="shared" si="2"/>
        <v>#N/A</v>
      </c>
      <c r="D53" s="141"/>
      <c r="E53" s="143" t="e">
        <f>IF(Berechnung!$AP$14=0,"-",Berechnung!$AP$14)</f>
        <v>#N/A</v>
      </c>
      <c r="F53" s="143" t="e">
        <f>IF(Berechnung!$AP$33=0,"-",Berechnung!$AP$33)</f>
        <v>#N/A</v>
      </c>
      <c r="G53" s="143" t="e">
        <f>IF(Berechnung!$AP$52=0,"-",Berechnung!$AP$52)</f>
        <v>#N/A</v>
      </c>
      <c r="M53" s="138"/>
      <c r="N53" s="138"/>
      <c r="O53" s="138"/>
    </row>
    <row r="54" spans="1:16" x14ac:dyDescent="0.2">
      <c r="A54" s="26" t="s">
        <v>19</v>
      </c>
      <c r="B54" s="26"/>
      <c r="C54" s="33" t="e">
        <f t="shared" si="2"/>
        <v>#N/A</v>
      </c>
      <c r="D54" s="141"/>
      <c r="E54" s="139" t="e">
        <f>IF(Berechnung!$AK$14=0,"-",Berechnung!$AK$14)</f>
        <v>#N/A</v>
      </c>
      <c r="F54" s="139" t="e">
        <f>IF(Berechnung!$AK$33=0,"-",Berechnung!$AK$33)</f>
        <v>#N/A</v>
      </c>
      <c r="G54" s="139" t="e">
        <f>IF(Berechnung!$AK$52=0,"-",Berechnung!$AK$52)</f>
        <v>#N/A</v>
      </c>
      <c r="M54" s="138"/>
      <c r="N54" s="138"/>
      <c r="O54" s="138"/>
    </row>
    <row r="55" spans="1:16" x14ac:dyDescent="0.2">
      <c r="A55" s="26" t="s">
        <v>20</v>
      </c>
      <c r="B55" s="26"/>
      <c r="C55" s="45" t="e">
        <f t="shared" si="2"/>
        <v>#N/A</v>
      </c>
      <c r="D55" s="141"/>
      <c r="E55" s="143" t="e">
        <f>IF(Berechnung!$AF$14=0,"-",Berechnung!$AF$14)</f>
        <v>#N/A</v>
      </c>
      <c r="F55" s="143" t="e">
        <f>IF(Berechnung!$AF$33=0,"-",Berechnung!$AF$33)</f>
        <v>#N/A</v>
      </c>
      <c r="G55" s="143" t="e">
        <f>IF(Berechnung!$AF$52=0,"-",Berechnung!$AF$52)</f>
        <v>#N/A</v>
      </c>
      <c r="M55" s="138"/>
      <c r="N55" s="138"/>
      <c r="O55" s="138"/>
      <c r="P55" s="138"/>
    </row>
    <row r="56" spans="1:16" x14ac:dyDescent="0.2">
      <c r="A56" s="26" t="s">
        <v>21</v>
      </c>
      <c r="B56" s="26"/>
      <c r="C56" s="33" t="e">
        <f t="shared" si="2"/>
        <v>#N/A</v>
      </c>
      <c r="D56" s="141"/>
      <c r="E56" s="139" t="e">
        <f>IF(Berechnung!$AA$14=0,"-",Berechnung!$AA$14)</f>
        <v>#N/A</v>
      </c>
      <c r="F56" s="140" t="e">
        <f>IF(Berechnung!$AA$33=0,"-",Berechnung!$AA$33)</f>
        <v>#N/A</v>
      </c>
      <c r="G56" s="140" t="e">
        <f>IF(Berechnung!$AA$52=0,"-",Berechnung!$AA$52)</f>
        <v>#N/A</v>
      </c>
      <c r="M56" s="138"/>
      <c r="N56" s="138"/>
      <c r="O56" s="138"/>
    </row>
    <row r="57" spans="1:16" x14ac:dyDescent="0.2">
      <c r="A57" s="26" t="s">
        <v>22</v>
      </c>
      <c r="B57" s="26"/>
      <c r="C57" s="33" t="e">
        <f t="shared" si="2"/>
        <v>#N/A</v>
      </c>
      <c r="D57" s="141"/>
      <c r="E57" s="139" t="e">
        <f>IF(Berechnung!$V$14=0,"-",Berechnung!$V$14)</f>
        <v>#N/A</v>
      </c>
      <c r="F57" s="140" t="e">
        <f>IF(Berechnung!$V$33=0,"-",Berechnung!$V$33)</f>
        <v>#N/A</v>
      </c>
      <c r="G57" s="140" t="e">
        <f>IF(Berechnung!$V$52=0,"-",Berechnung!$V$52)</f>
        <v>#N/A</v>
      </c>
      <c r="M57" s="138"/>
      <c r="N57" s="138"/>
      <c r="O57" s="138"/>
    </row>
    <row r="58" spans="1:16" x14ac:dyDescent="0.2">
      <c r="A58" s="26" t="s">
        <v>23</v>
      </c>
      <c r="B58" s="26"/>
      <c r="C58" s="33" t="e">
        <f t="shared" si="2"/>
        <v>#N/A</v>
      </c>
      <c r="D58" s="141"/>
      <c r="E58" s="139" t="e">
        <f>IF(Berechnung!$Q$14=0,"-",Berechnung!$Q$14)</f>
        <v>#N/A</v>
      </c>
      <c r="F58" s="140" t="e">
        <f>IF(Berechnung!$Q$33=0,"-",Berechnung!$Q$33)</f>
        <v>#N/A</v>
      </c>
      <c r="G58" s="140" t="e">
        <f>IF(Berechnung!$Q$52=0,"-",Berechnung!$Q$52)</f>
        <v>#N/A</v>
      </c>
      <c r="M58" s="138"/>
      <c r="N58" s="138"/>
      <c r="O58" s="138"/>
    </row>
    <row r="59" spans="1:16" x14ac:dyDescent="0.2">
      <c r="A59" s="26" t="s">
        <v>24</v>
      </c>
      <c r="B59" s="26"/>
      <c r="C59" s="33" t="e">
        <f t="shared" si="2"/>
        <v>#N/A</v>
      </c>
      <c r="D59" s="141"/>
      <c r="E59" s="150" t="e">
        <f>IF(Berechnung!$L$14=0,"-",Berechnung!$L$14)</f>
        <v>#N/A</v>
      </c>
      <c r="F59" s="151" t="e">
        <f>IF(Berechnung!$L$33=0,"-",Berechnung!$L$33)</f>
        <v>#N/A</v>
      </c>
      <c r="G59" s="151" t="e">
        <f>IF(Berechnung!$L$52=0,"-",Berechnung!$L$52)</f>
        <v>#N/A</v>
      </c>
      <c r="M59" s="138"/>
      <c r="N59" s="138"/>
      <c r="O59" s="138"/>
    </row>
    <row r="60" spans="1:16" x14ac:dyDescent="0.2">
      <c r="A60" s="26"/>
      <c r="B60" s="26"/>
      <c r="C60" s="33"/>
      <c r="D60" s="141"/>
      <c r="E60" s="152"/>
      <c r="F60" s="153"/>
      <c r="G60" s="153"/>
      <c r="M60" s="138"/>
      <c r="N60" s="138"/>
      <c r="O60" s="138"/>
    </row>
    <row r="61" spans="1:16" ht="9.9499999999999993" customHeight="1" x14ac:dyDescent="0.2">
      <c r="A61" s="35"/>
      <c r="B61" s="35"/>
      <c r="C61" s="35"/>
      <c r="D61" s="154"/>
      <c r="E61" s="154"/>
      <c r="F61" s="154"/>
      <c r="G61" s="154"/>
    </row>
    <row r="62" spans="1:16" ht="24.95" customHeight="1" x14ac:dyDescent="0.2">
      <c r="A62" s="160" t="s">
        <v>95</v>
      </c>
      <c r="B62" s="161"/>
      <c r="C62" s="161"/>
      <c r="D62" s="155"/>
      <c r="E62" s="156"/>
      <c r="F62" s="156"/>
      <c r="G62" s="156"/>
    </row>
    <row r="63" spans="1:16" x14ac:dyDescent="0.2">
      <c r="A63" s="27"/>
      <c r="B63" s="27"/>
      <c r="C63" s="27"/>
    </row>
    <row r="64" spans="1:16" x14ac:dyDescent="0.2">
      <c r="A64" s="27"/>
      <c r="B64" s="27"/>
      <c r="C64" s="27"/>
    </row>
    <row r="65" spans="1:3" x14ac:dyDescent="0.2">
      <c r="A65" s="27"/>
      <c r="B65" s="27"/>
      <c r="C65" s="27"/>
    </row>
  </sheetData>
  <sheetProtection algorithmName="SHA-512" hashValue="xycnoPO/alBxZiuc+a1vtwOmLN98BEemy7/Pp2/fb2XWDBfO7OB0T0zf9yToA0AP/ZQMDMw9lLk5EINaiZorAg==" saltValue="llauLcFL3ZJ6qxctgYdddQ==" spinCount="100000" sheet="1" objects="1" scenarios="1"/>
  <mergeCells count="2">
    <mergeCell ref="F35:G35"/>
    <mergeCell ref="A62:C62"/>
  </mergeCells>
  <dataValidations count="3">
    <dataValidation type="list" allowBlank="1" showInputMessage="1" showErrorMessage="1" sqref="C27:D27" xr:uid="{00000000-0002-0000-0000-000000000000}">
      <formula1>"Wechsel Wahlplan, Einkauf, WEF"</formula1>
    </dataValidation>
    <dataValidation type="list" allowBlank="1" showInputMessage="1" showErrorMessage="1" sqref="C21:D21 C28:D28" xr:uid="{00000000-0002-0000-0000-000001000000}">
      <formula1>"Standard, Plus, Top"</formula1>
    </dataValidation>
    <dataValidation type="list" allowBlank="1" showInputMessage="1" showErrorMessage="1" sqref="C15:D15" xr:uid="{00000000-0002-0000-0000-000002000000}">
      <formula1>"männlich, weiblich"</formula1>
    </dataValidation>
  </dataValidations>
  <pageMargins left="0.39370078740157483" right="0" top="0" bottom="0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4000000}">
          <x14:formula1>
            <xm:f>Berechnung!$A$36:$A$38</xm:f>
          </x14:formula1>
          <xm:sqref>C21:E21</xm:sqref>
        </x14:dataValidation>
        <x14:dataValidation type="list" allowBlank="1" showInputMessage="1" showErrorMessage="1" xr:uid="{00000000-0002-0000-0000-000005000000}">
          <x14:formula1>
            <xm:f>Berechnung!#REF!</xm:f>
          </x14:formula1>
          <xm:sqref>E15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57"/>
  <sheetViews>
    <sheetView windowProtection="1" zoomScaleNormal="100" workbookViewId="0">
      <selection activeCell="B22" sqref="B22"/>
    </sheetView>
  </sheetViews>
  <sheetFormatPr baseColWidth="10" defaultColWidth="11" defaultRowHeight="12.75" x14ac:dyDescent="0.2"/>
  <cols>
    <col min="1" max="1" width="17.375" style="90" customWidth="1"/>
    <col min="2" max="2" width="15.375" style="27" customWidth="1"/>
    <col min="3" max="4" width="9.625" style="27" customWidth="1"/>
    <col min="5" max="5" width="5.625" style="55" customWidth="1"/>
    <col min="6" max="6" width="6.5" style="27" customWidth="1"/>
    <col min="7" max="7" width="9.875" style="27" customWidth="1"/>
    <col min="8" max="8" width="7.5" style="56" customWidth="1"/>
    <col min="9" max="9" width="7" style="27" customWidth="1"/>
    <col min="10" max="11" width="9.875" style="27" customWidth="1"/>
    <col min="12" max="12" width="11.5" style="27" customWidth="1"/>
    <col min="13" max="13" width="8.125" style="27" customWidth="1"/>
    <col min="14" max="14" width="6.625" style="27" customWidth="1"/>
    <col min="15" max="15" width="9.25" style="27" customWidth="1"/>
    <col min="16" max="16" width="8.375" style="27" customWidth="1"/>
    <col min="17" max="17" width="10.375" style="27" customWidth="1"/>
    <col min="18" max="19" width="7.625" style="27" customWidth="1"/>
    <col min="20" max="21" width="9" style="27" customWidth="1"/>
    <col min="22" max="22" width="11" style="27" customWidth="1"/>
    <col min="23" max="24" width="7.625" style="27" customWidth="1"/>
    <col min="25" max="26" width="9" style="27" customWidth="1"/>
    <col min="27" max="27" width="11.75" style="27" customWidth="1"/>
    <col min="28" max="29" width="7.625" style="27" customWidth="1"/>
    <col min="30" max="31" width="9" style="27" customWidth="1"/>
    <col min="32" max="32" width="10.625" style="27" customWidth="1"/>
    <col min="33" max="34" width="7.625" style="27" customWidth="1"/>
    <col min="35" max="36" width="9" style="27" customWidth="1"/>
    <col min="37" max="37" width="12" style="27" customWidth="1"/>
    <col min="38" max="39" width="7.625" style="27" customWidth="1"/>
    <col min="40" max="41" width="9" style="27" customWidth="1"/>
    <col min="42" max="42" width="12" style="27" customWidth="1"/>
    <col min="43" max="44" width="7.625" style="27" customWidth="1"/>
    <col min="45" max="46" width="9" style="27" customWidth="1"/>
    <col min="47" max="47" width="12" style="27" customWidth="1"/>
    <col min="48" max="16384" width="11" style="27"/>
  </cols>
  <sheetData>
    <row r="1" spans="1:47" x14ac:dyDescent="0.2">
      <c r="A1" s="54" t="s">
        <v>25</v>
      </c>
      <c r="F1" s="174" t="s">
        <v>8</v>
      </c>
      <c r="G1" s="175"/>
    </row>
    <row r="3" spans="1:47" x14ac:dyDescent="0.2">
      <c r="A3" s="57" t="s">
        <v>59</v>
      </c>
      <c r="B3" s="58">
        <f>YEAR($B$12)+1</f>
        <v>1901</v>
      </c>
      <c r="E3" s="59"/>
      <c r="F3" s="60"/>
      <c r="G3" s="61"/>
      <c r="H3" s="163" t="s">
        <v>32</v>
      </c>
      <c r="I3" s="163"/>
      <c r="J3" s="163"/>
      <c r="K3" s="163"/>
      <c r="L3" s="164"/>
      <c r="M3" s="162" t="s">
        <v>33</v>
      </c>
      <c r="N3" s="163"/>
      <c r="O3" s="163"/>
      <c r="P3" s="163"/>
      <c r="Q3" s="164"/>
      <c r="R3" s="162" t="s">
        <v>34</v>
      </c>
      <c r="S3" s="163"/>
      <c r="T3" s="163"/>
      <c r="U3" s="163"/>
      <c r="V3" s="164"/>
      <c r="W3" s="162" t="s">
        <v>35</v>
      </c>
      <c r="X3" s="163"/>
      <c r="Y3" s="163"/>
      <c r="Z3" s="163"/>
      <c r="AA3" s="164"/>
      <c r="AB3" s="162" t="s">
        <v>36</v>
      </c>
      <c r="AC3" s="163"/>
      <c r="AD3" s="163"/>
      <c r="AE3" s="163"/>
      <c r="AF3" s="164"/>
      <c r="AG3" s="162" t="s">
        <v>37</v>
      </c>
      <c r="AH3" s="163"/>
      <c r="AI3" s="163"/>
      <c r="AJ3" s="163"/>
      <c r="AK3" s="164"/>
      <c r="AL3" s="162" t="s">
        <v>91</v>
      </c>
      <c r="AM3" s="163"/>
      <c r="AN3" s="163"/>
      <c r="AO3" s="163"/>
      <c r="AP3" s="164"/>
      <c r="AQ3" s="162" t="s">
        <v>92</v>
      </c>
      <c r="AR3" s="163"/>
      <c r="AS3" s="163"/>
      <c r="AT3" s="163"/>
      <c r="AU3" s="164"/>
    </row>
    <row r="4" spans="1:47" ht="12.75" customHeight="1" x14ac:dyDescent="0.2">
      <c r="A4" s="62" t="s">
        <v>5</v>
      </c>
      <c r="B4" s="63">
        <f>Eingabe_Ausgabe!$C$13</f>
        <v>0</v>
      </c>
      <c r="C4" s="64" t="str">
        <f>IF(DAY($B$4)&lt;10,0&amp;DAY($B$4),DAY($B$4))</f>
        <v>00</v>
      </c>
      <c r="E4" s="65"/>
      <c r="F4" s="167" t="s">
        <v>3</v>
      </c>
      <c r="G4" s="172" t="s">
        <v>31</v>
      </c>
      <c r="H4" s="167" t="s">
        <v>12</v>
      </c>
      <c r="I4" s="167" t="s">
        <v>13</v>
      </c>
      <c r="J4" s="168" t="s">
        <v>7</v>
      </c>
      <c r="K4" s="168" t="s">
        <v>2</v>
      </c>
      <c r="L4" s="170" t="s">
        <v>1</v>
      </c>
      <c r="M4" s="165" t="s">
        <v>12</v>
      </c>
      <c r="N4" s="167" t="s">
        <v>13</v>
      </c>
      <c r="O4" s="168" t="s">
        <v>7</v>
      </c>
      <c r="P4" s="168" t="s">
        <v>2</v>
      </c>
      <c r="Q4" s="170" t="s">
        <v>1</v>
      </c>
      <c r="R4" s="165" t="s">
        <v>12</v>
      </c>
      <c r="S4" s="167" t="s">
        <v>13</v>
      </c>
      <c r="T4" s="168" t="s">
        <v>7</v>
      </c>
      <c r="U4" s="168" t="s">
        <v>2</v>
      </c>
      <c r="V4" s="170" t="s">
        <v>1</v>
      </c>
      <c r="W4" s="165" t="s">
        <v>12</v>
      </c>
      <c r="X4" s="167" t="s">
        <v>13</v>
      </c>
      <c r="Y4" s="168" t="s">
        <v>7</v>
      </c>
      <c r="Z4" s="168" t="s">
        <v>2</v>
      </c>
      <c r="AA4" s="170" t="s">
        <v>1</v>
      </c>
      <c r="AB4" s="165" t="s">
        <v>12</v>
      </c>
      <c r="AC4" s="167" t="s">
        <v>13</v>
      </c>
      <c r="AD4" s="168" t="s">
        <v>7</v>
      </c>
      <c r="AE4" s="168" t="s">
        <v>2</v>
      </c>
      <c r="AF4" s="170" t="s">
        <v>1</v>
      </c>
      <c r="AG4" s="165" t="s">
        <v>12</v>
      </c>
      <c r="AH4" s="167" t="s">
        <v>13</v>
      </c>
      <c r="AI4" s="168" t="s">
        <v>7</v>
      </c>
      <c r="AJ4" s="168" t="s">
        <v>2</v>
      </c>
      <c r="AK4" s="170" t="s">
        <v>1</v>
      </c>
      <c r="AL4" s="165" t="s">
        <v>12</v>
      </c>
      <c r="AM4" s="167" t="s">
        <v>13</v>
      </c>
      <c r="AN4" s="168" t="s">
        <v>7</v>
      </c>
      <c r="AO4" s="168" t="s">
        <v>2</v>
      </c>
      <c r="AP4" s="170" t="s">
        <v>1</v>
      </c>
      <c r="AQ4" s="165" t="s">
        <v>12</v>
      </c>
      <c r="AR4" s="167" t="s">
        <v>13</v>
      </c>
      <c r="AS4" s="168" t="s">
        <v>7</v>
      </c>
      <c r="AT4" s="168" t="s">
        <v>2</v>
      </c>
      <c r="AU4" s="170" t="s">
        <v>1</v>
      </c>
    </row>
    <row r="5" spans="1:47" ht="12.75" customHeight="1" x14ac:dyDescent="0.2">
      <c r="A5" s="66" t="s">
        <v>15</v>
      </c>
      <c r="B5" s="67">
        <f>IF($B$15=0,YEAR(B12)-YEAR(B4),B3-YEAR(B4))</f>
        <v>1</v>
      </c>
      <c r="C5" s="56" t="str">
        <f>IF(MONTH($B$4)&lt;10,0&amp;MONTH($B$4),MONTH($B$4))</f>
        <v>01</v>
      </c>
      <c r="E5" s="68"/>
      <c r="F5" s="161"/>
      <c r="G5" s="173" t="s">
        <v>8</v>
      </c>
      <c r="H5" s="161" t="s">
        <v>12</v>
      </c>
      <c r="I5" s="161" t="s">
        <v>12</v>
      </c>
      <c r="J5" s="169" t="s">
        <v>7</v>
      </c>
      <c r="K5" s="169" t="s">
        <v>7</v>
      </c>
      <c r="L5" s="171" t="s">
        <v>1</v>
      </c>
      <c r="M5" s="165" t="s">
        <v>12</v>
      </c>
      <c r="N5" s="161" t="s">
        <v>12</v>
      </c>
      <c r="O5" s="169" t="s">
        <v>7</v>
      </c>
      <c r="P5" s="169" t="s">
        <v>7</v>
      </c>
      <c r="Q5" s="171" t="s">
        <v>1</v>
      </c>
      <c r="R5" s="166" t="s">
        <v>12</v>
      </c>
      <c r="S5" s="161" t="s">
        <v>12</v>
      </c>
      <c r="T5" s="169" t="s">
        <v>7</v>
      </c>
      <c r="U5" s="169" t="s">
        <v>7</v>
      </c>
      <c r="V5" s="171" t="s">
        <v>1</v>
      </c>
      <c r="W5" s="166" t="s">
        <v>12</v>
      </c>
      <c r="X5" s="161" t="s">
        <v>12</v>
      </c>
      <c r="Y5" s="169" t="s">
        <v>7</v>
      </c>
      <c r="Z5" s="169" t="s">
        <v>7</v>
      </c>
      <c r="AA5" s="171" t="s">
        <v>1</v>
      </c>
      <c r="AB5" s="166" t="s">
        <v>12</v>
      </c>
      <c r="AC5" s="161" t="s">
        <v>12</v>
      </c>
      <c r="AD5" s="169" t="s">
        <v>7</v>
      </c>
      <c r="AE5" s="169" t="s">
        <v>7</v>
      </c>
      <c r="AF5" s="171" t="s">
        <v>1</v>
      </c>
      <c r="AG5" s="166" t="s">
        <v>12</v>
      </c>
      <c r="AH5" s="161" t="s">
        <v>12</v>
      </c>
      <c r="AI5" s="169" t="s">
        <v>7</v>
      </c>
      <c r="AJ5" s="169" t="s">
        <v>7</v>
      </c>
      <c r="AK5" s="171" t="s">
        <v>1</v>
      </c>
      <c r="AL5" s="166" t="s">
        <v>12</v>
      </c>
      <c r="AM5" s="161" t="s">
        <v>12</v>
      </c>
      <c r="AN5" s="169" t="s">
        <v>7</v>
      </c>
      <c r="AO5" s="169" t="s">
        <v>7</v>
      </c>
      <c r="AP5" s="171" t="s">
        <v>1</v>
      </c>
      <c r="AQ5" s="166" t="s">
        <v>12</v>
      </c>
      <c r="AR5" s="161" t="s">
        <v>12</v>
      </c>
      <c r="AS5" s="169" t="s">
        <v>7</v>
      </c>
      <c r="AT5" s="169" t="s">
        <v>7</v>
      </c>
      <c r="AU5" s="171" t="s">
        <v>1</v>
      </c>
    </row>
    <row r="6" spans="1:47" x14ac:dyDescent="0.2">
      <c r="A6" s="57"/>
      <c r="B6" s="62"/>
      <c r="F6" s="69">
        <v>25</v>
      </c>
      <c r="G6" s="70">
        <v>0.105</v>
      </c>
      <c r="H6" s="69">
        <v>40</v>
      </c>
      <c r="I6" s="69">
        <f>IF($B$5&lt;$F7,MIN(H6,65-$B$5),0)</f>
        <v>40</v>
      </c>
      <c r="J6" s="27">
        <f t="shared" ref="J6:J11" si="0">(POWER((1+$B$14),I6)-1)/$B$14</f>
        <v>51.489557078960978</v>
      </c>
      <c r="K6" s="27">
        <f>$G6*J6</f>
        <v>5.4064034932909024</v>
      </c>
      <c r="L6" s="71">
        <f t="shared" ref="L6:L11" si="1">$B$13*K6</f>
        <v>0</v>
      </c>
      <c r="M6" s="72">
        <f>H6-1</f>
        <v>39</v>
      </c>
      <c r="N6" s="69">
        <f>IF($B$5&lt;$F7,MIN(M6,64-$B$5),0)</f>
        <v>39</v>
      </c>
      <c r="O6" s="27">
        <f t="shared" ref="O6:O11" si="2">(POWER((1+$B$14),N6)-1)/$B$14</f>
        <v>49.866229213788614</v>
      </c>
      <c r="P6" s="27">
        <f>$G6*O6</f>
        <v>5.2359540674478042</v>
      </c>
      <c r="Q6" s="71">
        <f t="shared" ref="Q6:Q11" si="3">$B$13*P6</f>
        <v>0</v>
      </c>
      <c r="R6" s="72">
        <f>M6-1</f>
        <v>38</v>
      </c>
      <c r="S6" s="69">
        <f>IF($B$5&lt;$F7,MIN(R6,63-$B$5),0)</f>
        <v>38</v>
      </c>
      <c r="T6" s="27">
        <f t="shared" ref="T6:T11" si="4">(POWER((1+$B$14),S6)-1)/$B$14</f>
        <v>48.262942433371485</v>
      </c>
      <c r="U6" s="27">
        <f>$G6*T6</f>
        <v>5.0676089555040056</v>
      </c>
      <c r="V6" s="71">
        <f t="shared" ref="V6:V11" si="5">$B$13*U6</f>
        <v>0</v>
      </c>
      <c r="W6" s="72">
        <f>R6-1</f>
        <v>37</v>
      </c>
      <c r="X6" s="69">
        <f>IF($B$5&lt;$F7,MIN(W6,62-$B$5),0)</f>
        <v>37</v>
      </c>
      <c r="Y6" s="27">
        <f t="shared" ref="Y6:Y11" si="6">(POWER((1+$B$14),X6)-1)/$B$14</f>
        <v>46.679449316910109</v>
      </c>
      <c r="Z6" s="27">
        <f>$G6*Y6</f>
        <v>4.9013421782755611</v>
      </c>
      <c r="AA6" s="71">
        <f t="shared" ref="AA6:AA11" si="7">$B$13*Z6</f>
        <v>0</v>
      </c>
      <c r="AB6" s="72">
        <f>W6-1</f>
        <v>36</v>
      </c>
      <c r="AC6" s="69">
        <f>IF($B$5&lt;$F7,MIN(AB6,61-$B$5),0)</f>
        <v>36</v>
      </c>
      <c r="AD6" s="27">
        <f t="shared" ref="AD6:AD11" si="8">(POWER((1+$B$14),AC6)-1)/$B$14</f>
        <v>45.115505498182827</v>
      </c>
      <c r="AE6" s="27">
        <f>$G6*AD6</f>
        <v>4.7371280773091966</v>
      </c>
      <c r="AF6" s="71">
        <f t="shared" ref="AF6:AF11" si="9">$B$13*AE6</f>
        <v>0</v>
      </c>
      <c r="AG6" s="72">
        <f>AB6-1</f>
        <v>35</v>
      </c>
      <c r="AH6" s="69">
        <f>IF($B$5&lt;$F7,MIN(AG6,60-$B$5),0)</f>
        <v>35</v>
      </c>
      <c r="AI6" s="27">
        <f t="shared" ref="AI6:AI11" si="10">(POWER((1+$B$14),AH6)-1)/$B$14</f>
        <v>43.570869627834888</v>
      </c>
      <c r="AJ6" s="27">
        <f>$G6*AI6</f>
        <v>4.5749413109226627</v>
      </c>
      <c r="AK6" s="71">
        <f t="shared" ref="AK6:AK11" si="11">$B$13*AJ6</f>
        <v>0</v>
      </c>
      <c r="AL6" s="72">
        <f>AG6-1</f>
        <v>34</v>
      </c>
      <c r="AM6" s="69">
        <f>IF($B$5&lt;$F7,MIN(AL6,59-$B$5),0)</f>
        <v>34</v>
      </c>
      <c r="AN6" s="27">
        <f t="shared" ref="AN6:AN11" si="12">(POWER((1+$B$14),AM6)-1)/$B$14</f>
        <v>42.045303336133237</v>
      </c>
      <c r="AO6" s="27">
        <f>$G6*AN6</f>
        <v>4.4147568502939896</v>
      </c>
      <c r="AP6" s="71">
        <f t="shared" ref="AP6:AP11" si="13">$B$13*AO6</f>
        <v>0</v>
      </c>
      <c r="AQ6" s="72">
        <f>AL6-1</f>
        <v>33</v>
      </c>
      <c r="AR6" s="69">
        <f>IF($B$5&lt;$F7,MIN(AQ6,58-$B$5),0)</f>
        <v>33</v>
      </c>
      <c r="AS6" s="27">
        <f t="shared" ref="AS6:AS11" si="14">(POWER((1+$B$14),AR6)-1)/$B$14</f>
        <v>40.538571196180975</v>
      </c>
      <c r="AT6" s="27">
        <f>$G6*AS6</f>
        <v>4.2565499755990022</v>
      </c>
      <c r="AU6" s="71">
        <f t="shared" ref="AU6:AU11" si="15">$B$13*AT6</f>
        <v>0</v>
      </c>
    </row>
    <row r="7" spans="1:47" x14ac:dyDescent="0.2">
      <c r="A7" s="57" t="s">
        <v>6</v>
      </c>
      <c r="B7" s="73">
        <f>Eingabe_Ausgabe!$C$15</f>
        <v>0</v>
      </c>
      <c r="C7" s="27">
        <f>IF(B7="männlich",1,2)</f>
        <v>2</v>
      </c>
      <c r="E7" s="74"/>
      <c r="F7" s="69">
        <v>35</v>
      </c>
      <c r="G7" s="70">
        <v>0.155</v>
      </c>
      <c r="H7" s="69">
        <v>30</v>
      </c>
      <c r="I7" s="69">
        <f>IF($B$5&lt;$F8,MIN(H7,65-$B$5),0)</f>
        <v>30</v>
      </c>
      <c r="J7" s="27">
        <f t="shared" si="0"/>
        <v>36.12906880057178</v>
      </c>
      <c r="K7" s="27">
        <f>IF($I$13&gt;H7,$G7-$G6,$G7)*J7</f>
        <v>1.806453440028589</v>
      </c>
      <c r="L7" s="71">
        <f t="shared" si="1"/>
        <v>0</v>
      </c>
      <c r="M7" s="72">
        <f t="shared" ref="M7:M11" si="16">H7-1</f>
        <v>29</v>
      </c>
      <c r="N7" s="69">
        <f>IF($B$5&lt;$F8,MIN(M7,64-$B$5),0)</f>
        <v>29</v>
      </c>
      <c r="O7" s="27">
        <f t="shared" si="2"/>
        <v>34.695376593157278</v>
      </c>
      <c r="P7" s="27">
        <f>IF($N$13&gt;M7,$G7-$G6,$G7)*O7</f>
        <v>1.7347688296578641</v>
      </c>
      <c r="Q7" s="71">
        <f t="shared" si="3"/>
        <v>0</v>
      </c>
      <c r="R7" s="72">
        <f t="shared" ref="R7:R11" si="17">M7-1</f>
        <v>28</v>
      </c>
      <c r="S7" s="69">
        <f>IF($B$5&lt;$F8,MIN(R7,63-$B$5),0)</f>
        <v>28</v>
      </c>
      <c r="T7" s="27">
        <f t="shared" si="4"/>
        <v>33.279384289538072</v>
      </c>
      <c r="U7" s="27">
        <f>IF($S$13&gt;R7,$G7-$G6,$G7)*T7</f>
        <v>1.6639692144769036</v>
      </c>
      <c r="V7" s="71">
        <f t="shared" si="5"/>
        <v>0</v>
      </c>
      <c r="W7" s="72">
        <f t="shared" ref="W7:W11" si="18">R7-1</f>
        <v>27</v>
      </c>
      <c r="X7" s="69">
        <f>IF($B$5&lt;$F8,MIN(W7,62-$B$5),0)</f>
        <v>27</v>
      </c>
      <c r="Y7" s="27">
        <f t="shared" si="6"/>
        <v>31.880873372383274</v>
      </c>
      <c r="Z7" s="27">
        <f>IF($X$13&gt;W7,$G7-$G6,$G7)*Y7</f>
        <v>1.5940436686191637</v>
      </c>
      <c r="AA7" s="71">
        <f t="shared" si="7"/>
        <v>0</v>
      </c>
      <c r="AB7" s="72">
        <f t="shared" ref="AB7:AB11" si="19">W7-1</f>
        <v>26</v>
      </c>
      <c r="AC7" s="69">
        <f>IF($B$5&lt;$F8,MIN(AB7,61-$B$5),0)</f>
        <v>26</v>
      </c>
      <c r="AD7" s="27">
        <f t="shared" si="8"/>
        <v>30.499628022106968</v>
      </c>
      <c r="AE7" s="27">
        <f>IF($AC$13&gt;AB7,$G7-$G6,$G7)*AD7</f>
        <v>1.5249814011053484</v>
      </c>
      <c r="AF7" s="71">
        <f t="shared" si="9"/>
        <v>0</v>
      </c>
      <c r="AG7" s="72">
        <f t="shared" ref="AG7:AG11" si="20">AB7-1</f>
        <v>25</v>
      </c>
      <c r="AH7" s="69">
        <f>IF($B$5&lt;$F8,MIN(AG7,60-$B$5),0)</f>
        <v>25</v>
      </c>
      <c r="AI7" s="27">
        <f t="shared" si="10"/>
        <v>29.135435083562413</v>
      </c>
      <c r="AJ7" s="27">
        <f>IF($AH$13&gt;AG7,$G7-$G6,$G7)*AI7</f>
        <v>1.4567717541781207</v>
      </c>
      <c r="AK7" s="71">
        <f t="shared" si="11"/>
        <v>0</v>
      </c>
      <c r="AL7" s="72">
        <f t="shared" ref="AL7:AL11" si="21">AG7-1</f>
        <v>24</v>
      </c>
      <c r="AM7" s="69">
        <f>IF($B$5&lt;$F8,MIN(AL7,59-$B$5),0)</f>
        <v>24</v>
      </c>
      <c r="AN7" s="27">
        <f t="shared" si="12"/>
        <v>27.788084033148071</v>
      </c>
      <c r="AO7" s="27">
        <f>IF($AM$13&gt;AL7,$G7-$G6,$G7)*AN7</f>
        <v>1.3894042016574035</v>
      </c>
      <c r="AP7" s="71">
        <f t="shared" si="13"/>
        <v>0</v>
      </c>
      <c r="AQ7" s="72">
        <f t="shared" ref="AQ7:AQ11" si="22">AL7-1</f>
        <v>23</v>
      </c>
      <c r="AR7" s="69">
        <f>IF($B$5&lt;$F8,MIN(AQ7,58-$B$5),0)</f>
        <v>23</v>
      </c>
      <c r="AS7" s="27">
        <f t="shared" si="14"/>
        <v>26.45736694631907</v>
      </c>
      <c r="AT7" s="27">
        <f>IF($AR$13&gt;AQ7,$G7-$G6,$G7)*AS7</f>
        <v>1.3228683473159535</v>
      </c>
      <c r="AU7" s="71">
        <f t="shared" si="15"/>
        <v>0</v>
      </c>
    </row>
    <row r="8" spans="1:47" x14ac:dyDescent="0.2">
      <c r="A8" s="66"/>
      <c r="B8" s="67"/>
      <c r="E8" s="59"/>
      <c r="F8" s="69">
        <v>40</v>
      </c>
      <c r="G8" s="70">
        <v>0.16500000000000001</v>
      </c>
      <c r="H8" s="69">
        <v>25</v>
      </c>
      <c r="I8" s="69">
        <f>IF($B$5&lt;$F9,MIN(H8,65-$B$5),0)</f>
        <v>25</v>
      </c>
      <c r="J8" s="27">
        <f t="shared" si="0"/>
        <v>29.135435083562413</v>
      </c>
      <c r="K8" s="27">
        <f t="shared" ref="K8:K11" si="23">IF($I$13&gt;H8,$G8-$G7,$G8)*J8</f>
        <v>0.29135435083562439</v>
      </c>
      <c r="L8" s="71">
        <f t="shared" si="1"/>
        <v>0</v>
      </c>
      <c r="M8" s="72">
        <f t="shared" si="16"/>
        <v>24</v>
      </c>
      <c r="N8" s="69">
        <f>IF($B$5&lt;$F9,MIN(M8,64-$B$5),0)</f>
        <v>24</v>
      </c>
      <c r="O8" s="27">
        <f t="shared" si="2"/>
        <v>27.788084033148071</v>
      </c>
      <c r="P8" s="27">
        <f>IF($N$13&gt;M8,$G8-$G7,$G8)*O8</f>
        <v>0.27788084033148097</v>
      </c>
      <c r="Q8" s="71">
        <f t="shared" si="3"/>
        <v>0</v>
      </c>
      <c r="R8" s="72">
        <f t="shared" si="17"/>
        <v>23</v>
      </c>
      <c r="S8" s="69">
        <f>IF($B$5&lt;$F9,MIN(R8,63-$B$5),0)</f>
        <v>23</v>
      </c>
      <c r="T8" s="27">
        <f t="shared" si="4"/>
        <v>26.45736694631907</v>
      </c>
      <c r="U8" s="27">
        <f>IF($S$13&gt;R8,$G8-$G7,$G8)*T8</f>
        <v>0.26457366946319094</v>
      </c>
      <c r="V8" s="71">
        <f t="shared" si="5"/>
        <v>0</v>
      </c>
      <c r="W8" s="72">
        <f t="shared" si="18"/>
        <v>22</v>
      </c>
      <c r="X8" s="69">
        <f>IF($B$5&lt;$F9,MIN(W8,62-$B$5),0)</f>
        <v>22</v>
      </c>
      <c r="Y8" s="27">
        <f t="shared" si="6"/>
        <v>25.143078465500324</v>
      </c>
      <c r="Z8" s="27">
        <f>IF($X$13&gt;W8,$G8-$G7,$G8)*Y8</f>
        <v>0.25143078465500346</v>
      </c>
      <c r="AA8" s="71">
        <f t="shared" si="7"/>
        <v>0</v>
      </c>
      <c r="AB8" s="72">
        <f t="shared" si="19"/>
        <v>21</v>
      </c>
      <c r="AC8" s="69">
        <f>IF($B$5&lt;$F9,MIN(AB8,61-$B$5),0)</f>
        <v>21</v>
      </c>
      <c r="AD8" s="27">
        <f t="shared" si="8"/>
        <v>23.845015768395381</v>
      </c>
      <c r="AE8" s="27">
        <f>IF($AC$13&gt;AB8,$G8-$G7,$G8)*AD8</f>
        <v>0.23845015768395403</v>
      </c>
      <c r="AF8" s="71">
        <f t="shared" si="9"/>
        <v>0</v>
      </c>
      <c r="AG8" s="72">
        <f t="shared" si="20"/>
        <v>20</v>
      </c>
      <c r="AH8" s="69">
        <f>IF($B$5&lt;$F9,MIN(AG8,60-$B$5),0)</f>
        <v>20</v>
      </c>
      <c r="AI8" s="27">
        <f t="shared" si="10"/>
        <v>22.562978536686806</v>
      </c>
      <c r="AJ8" s="27">
        <f>IF($AH$13&gt;AG8,$G8-$G7,$G8)*AI8</f>
        <v>0.22562978536686826</v>
      </c>
      <c r="AK8" s="71">
        <f t="shared" si="11"/>
        <v>0</v>
      </c>
      <c r="AL8" s="72">
        <f t="shared" si="21"/>
        <v>19</v>
      </c>
      <c r="AM8" s="69">
        <f>IF($B$5&lt;$F9,MIN(AL8,59-$B$5),0)</f>
        <v>19</v>
      </c>
      <c r="AN8" s="27">
        <f t="shared" si="12"/>
        <v>21.296768925122773</v>
      </c>
      <c r="AO8" s="27">
        <f t="shared" ref="AO8:AO10" si="24">IF($AM$13&gt;AL8,$G8-$G7,$G8)*AN8</f>
        <v>0.21296768925122792</v>
      </c>
      <c r="AP8" s="71">
        <f t="shared" si="13"/>
        <v>0</v>
      </c>
      <c r="AQ8" s="72">
        <f t="shared" si="22"/>
        <v>18</v>
      </c>
      <c r="AR8" s="69">
        <f>IF($B$5&lt;$F9,MIN(AQ8,58-$B$5),0)</f>
        <v>18</v>
      </c>
      <c r="AS8" s="27">
        <f t="shared" si="14"/>
        <v>20.046191530985471</v>
      </c>
      <c r="AT8" s="27">
        <f>IF($AR$13&gt;AQ8,$G8-$G7,$G8)*AS8</f>
        <v>0.20046191530985488</v>
      </c>
      <c r="AU8" s="71">
        <f t="shared" si="15"/>
        <v>0</v>
      </c>
    </row>
    <row r="9" spans="1:47" x14ac:dyDescent="0.2">
      <c r="A9" s="66" t="s">
        <v>10</v>
      </c>
      <c r="B9" s="62">
        <f>YEAR($B$4)</f>
        <v>1900</v>
      </c>
      <c r="E9" s="59"/>
      <c r="F9" s="75">
        <v>45</v>
      </c>
      <c r="G9" s="70">
        <v>0.20499999999999999</v>
      </c>
      <c r="H9" s="69">
        <v>20</v>
      </c>
      <c r="I9" s="69">
        <f>IF($B$5&lt;$F10,MIN(H9,65-$B$5),0)</f>
        <v>20</v>
      </c>
      <c r="J9" s="27">
        <f t="shared" si="0"/>
        <v>22.562978536686806</v>
      </c>
      <c r="K9" s="27">
        <f t="shared" si="23"/>
        <v>0.90251914146747181</v>
      </c>
      <c r="L9" s="71">
        <f t="shared" si="1"/>
        <v>0</v>
      </c>
      <c r="M9" s="72">
        <f t="shared" si="16"/>
        <v>19</v>
      </c>
      <c r="N9" s="69">
        <f>IF($B$5&lt;$F10,MIN(M9,64-$B$5),0)</f>
        <v>19</v>
      </c>
      <c r="O9" s="27">
        <f t="shared" si="2"/>
        <v>21.296768925122773</v>
      </c>
      <c r="P9" s="27">
        <f>IF($N$13&gt;M9,$G9-$G8,$G9)*O9</f>
        <v>0.85187075700491055</v>
      </c>
      <c r="Q9" s="71">
        <f t="shared" si="3"/>
        <v>0</v>
      </c>
      <c r="R9" s="72">
        <f t="shared" si="17"/>
        <v>18</v>
      </c>
      <c r="S9" s="69">
        <f>IF($B$5&lt;$F10,MIN(R9,63-$B$5),0)</f>
        <v>18</v>
      </c>
      <c r="T9" s="27">
        <f t="shared" si="4"/>
        <v>20.046191530985471</v>
      </c>
      <c r="U9" s="27">
        <f>IF($S$13&gt;R9,$G9-$G8,$G9)*T9</f>
        <v>0.80184766123941842</v>
      </c>
      <c r="V9" s="71">
        <f t="shared" si="5"/>
        <v>0</v>
      </c>
      <c r="W9" s="72">
        <f t="shared" si="18"/>
        <v>17</v>
      </c>
      <c r="X9" s="69">
        <f>IF($B$5&lt;$F10,MIN(W9,62-$B$5),0)</f>
        <v>17</v>
      </c>
      <c r="Y9" s="27">
        <f t="shared" si="6"/>
        <v>18.811053363936256</v>
      </c>
      <c r="Z9" s="27">
        <f>IF($X$13&gt;W9,$G9-$G8,$G9)*Y9</f>
        <v>0.7524421345574499</v>
      </c>
      <c r="AA9" s="71">
        <f t="shared" si="7"/>
        <v>0</v>
      </c>
      <c r="AB9" s="72">
        <f t="shared" si="19"/>
        <v>16</v>
      </c>
      <c r="AC9" s="69">
        <f>IF($B$5&lt;$F10,MIN(AB9,61-$B$5),0)</f>
        <v>16</v>
      </c>
      <c r="AD9" s="27">
        <f t="shared" si="8"/>
        <v>17.591163816233344</v>
      </c>
      <c r="AE9" s="27">
        <f>IF($AC$13&gt;AB9,$G9-$G8,$G9)*AD9</f>
        <v>0.7036465526493334</v>
      </c>
      <c r="AF9" s="71">
        <f t="shared" si="9"/>
        <v>0</v>
      </c>
      <c r="AG9" s="72">
        <f t="shared" si="20"/>
        <v>15</v>
      </c>
      <c r="AH9" s="69">
        <f>IF($B$5&lt;$F10,MIN(AG9,60-$B$5),0)</f>
        <v>15</v>
      </c>
      <c r="AI9" s="27">
        <f t="shared" si="10"/>
        <v>16.386334633316864</v>
      </c>
      <c r="AJ9" s="27">
        <f>IF($AH$13&gt;AG9,$G9-$G8,$G9)*AI9</f>
        <v>0.65545338533267417</v>
      </c>
      <c r="AK9" s="71">
        <f t="shared" si="11"/>
        <v>0</v>
      </c>
      <c r="AL9" s="72">
        <f t="shared" si="21"/>
        <v>14</v>
      </c>
      <c r="AM9" s="69">
        <f>IF($B$5&lt;$F10,MIN(AL9,59-$B$5),0)</f>
        <v>14</v>
      </c>
      <c r="AN9" s="27">
        <f t="shared" si="12"/>
        <v>15.196379884757416</v>
      </c>
      <c r="AO9" s="27">
        <f t="shared" si="24"/>
        <v>0.60785519539029631</v>
      </c>
      <c r="AP9" s="71">
        <f t="shared" si="13"/>
        <v>0</v>
      </c>
      <c r="AQ9" s="72">
        <f t="shared" si="22"/>
        <v>13</v>
      </c>
      <c r="AR9" s="69">
        <f>IF($B$5&lt;$F10,MIN(AQ9,58-$B$5),0)</f>
        <v>13</v>
      </c>
      <c r="AS9" s="27">
        <f t="shared" si="14"/>
        <v>14.021115935562865</v>
      </c>
      <c r="AT9" s="27">
        <f>IF($AR$13&gt;AQ9,$G9-$G8,$G9)*AS9</f>
        <v>0.56084463742251434</v>
      </c>
      <c r="AU9" s="71">
        <f t="shared" si="15"/>
        <v>0</v>
      </c>
    </row>
    <row r="10" spans="1:47" x14ac:dyDescent="0.2">
      <c r="A10" s="76"/>
      <c r="E10" s="59"/>
      <c r="F10" s="75">
        <v>50</v>
      </c>
      <c r="G10" s="70">
        <v>0.20499999999999999</v>
      </c>
      <c r="H10" s="69">
        <v>15</v>
      </c>
      <c r="I10" s="69">
        <f>IF($B$5&lt;$F11,MIN(H10,65-$B$5),0)</f>
        <v>15</v>
      </c>
      <c r="J10" s="27">
        <f t="shared" si="0"/>
        <v>16.386334633316864</v>
      </c>
      <c r="K10" s="27">
        <f t="shared" si="23"/>
        <v>0</v>
      </c>
      <c r="L10" s="71">
        <f t="shared" si="1"/>
        <v>0</v>
      </c>
      <c r="M10" s="72">
        <f t="shared" si="16"/>
        <v>14</v>
      </c>
      <c r="N10" s="69">
        <f>IF($B$5&lt;$F11,MIN(M10,64-$B$5),0)</f>
        <v>14</v>
      </c>
      <c r="O10" s="27">
        <f t="shared" si="2"/>
        <v>15.196379884757416</v>
      </c>
      <c r="P10" s="27">
        <f>IF($N$13&gt;M10,$G10-$G9,$G10)*O10</f>
        <v>0</v>
      </c>
      <c r="Q10" s="71">
        <f t="shared" si="3"/>
        <v>0</v>
      </c>
      <c r="R10" s="72">
        <f t="shared" si="17"/>
        <v>13</v>
      </c>
      <c r="S10" s="69">
        <f>IF($B$5&lt;$F11,MIN(R10,63-$B$5),0)</f>
        <v>13</v>
      </c>
      <c r="T10" s="27">
        <f t="shared" si="4"/>
        <v>14.021115935562865</v>
      </c>
      <c r="U10" s="27">
        <f>IF($S$13&gt;R10,$G10-$G9,$G10)*T10</f>
        <v>0</v>
      </c>
      <c r="V10" s="71">
        <f t="shared" si="5"/>
        <v>0</v>
      </c>
      <c r="W10" s="72">
        <f t="shared" si="18"/>
        <v>12</v>
      </c>
      <c r="X10" s="69">
        <f>IF($B$5&lt;$F11,MIN(W10,62-$B$5),0)</f>
        <v>12</v>
      </c>
      <c r="Y10" s="27">
        <f t="shared" si="6"/>
        <v>12.860361417839883</v>
      </c>
      <c r="Z10" s="27">
        <f>IF($X$13&gt;W10,$G10-$G9,$G10)*Y10</f>
        <v>0</v>
      </c>
      <c r="AA10" s="71">
        <f t="shared" si="7"/>
        <v>0</v>
      </c>
      <c r="AB10" s="72">
        <f t="shared" si="19"/>
        <v>11</v>
      </c>
      <c r="AC10" s="69">
        <f>IF($B$5&lt;$F11,MIN(AB10,61-$B$5),0)</f>
        <v>11</v>
      </c>
      <c r="AD10" s="27">
        <f t="shared" si="8"/>
        <v>11.713937202804807</v>
      </c>
      <c r="AE10" s="27">
        <f>IF($AC$13&gt;AB10,$G10-$G9,$G10)*AD10</f>
        <v>0</v>
      </c>
      <c r="AF10" s="71">
        <f t="shared" si="9"/>
        <v>0</v>
      </c>
      <c r="AG10" s="72">
        <f t="shared" si="20"/>
        <v>10</v>
      </c>
      <c r="AH10" s="69">
        <f>IF($B$5&lt;$F11,MIN(AG10,60-$B$5),0)</f>
        <v>10</v>
      </c>
      <c r="AI10" s="27">
        <f t="shared" si="10"/>
        <v>10.581666373140575</v>
      </c>
      <c r="AJ10" s="27">
        <f>IF($AH$13&gt;AG10,$G10-$G9,$G10)*AI10</f>
        <v>0</v>
      </c>
      <c r="AK10" s="71">
        <f t="shared" si="11"/>
        <v>0</v>
      </c>
      <c r="AL10" s="72">
        <f t="shared" si="21"/>
        <v>9</v>
      </c>
      <c r="AM10" s="69">
        <f>IF($B$5&lt;$F11,MIN(AL10,59-$B$5),0)</f>
        <v>9</v>
      </c>
      <c r="AN10" s="27">
        <f t="shared" si="12"/>
        <v>9.4633741956943851</v>
      </c>
      <c r="AO10" s="27">
        <f t="shared" si="24"/>
        <v>0</v>
      </c>
      <c r="AP10" s="71">
        <f t="shared" si="13"/>
        <v>0</v>
      </c>
      <c r="AQ10" s="72">
        <f t="shared" si="22"/>
        <v>8</v>
      </c>
      <c r="AR10" s="69">
        <f>IF($B$5&lt;$F11,MIN(AQ10,58-$B$5),0)</f>
        <v>8</v>
      </c>
      <c r="AS10" s="27">
        <f t="shared" si="14"/>
        <v>8.3588880945129773</v>
      </c>
      <c r="AT10" s="27">
        <f>IF($AR$13&gt;AQ10,$G10-$G9,$G10)*AS10</f>
        <v>0</v>
      </c>
      <c r="AU10" s="71">
        <f t="shared" si="15"/>
        <v>0</v>
      </c>
    </row>
    <row r="11" spans="1:47" x14ac:dyDescent="0.2">
      <c r="A11" s="57" t="s">
        <v>62</v>
      </c>
      <c r="B11" s="62"/>
      <c r="C11" s="62"/>
      <c r="D11" s="62"/>
      <c r="E11" s="59"/>
      <c r="F11" s="75">
        <v>55</v>
      </c>
      <c r="G11" s="70">
        <v>0.245</v>
      </c>
      <c r="H11" s="69">
        <v>10</v>
      </c>
      <c r="I11" s="77">
        <f>MAX(0,MIN(H11,65-$B$5))</f>
        <v>10</v>
      </c>
      <c r="J11" s="27">
        <f t="shared" si="0"/>
        <v>10.581666373140575</v>
      </c>
      <c r="K11" s="27">
        <f t="shared" si="23"/>
        <v>0.42326665492562304</v>
      </c>
      <c r="L11" s="71">
        <f t="shared" si="1"/>
        <v>0</v>
      </c>
      <c r="M11" s="72">
        <f t="shared" si="16"/>
        <v>9</v>
      </c>
      <c r="N11" s="77">
        <f>MAX(0,MIN(M11,64-$B$5))</f>
        <v>9</v>
      </c>
      <c r="O11" s="27">
        <f t="shared" si="2"/>
        <v>9.4633741956943851</v>
      </c>
      <c r="P11" s="27">
        <f>IF($N$13&gt;M11,$G11-$G10,$G11)*O11</f>
        <v>0.37853496782777546</v>
      </c>
      <c r="Q11" s="71">
        <f t="shared" si="3"/>
        <v>0</v>
      </c>
      <c r="R11" s="72">
        <f t="shared" si="17"/>
        <v>8</v>
      </c>
      <c r="S11" s="77">
        <f>MAX(0,MIN(R11,63-$B$5))</f>
        <v>8</v>
      </c>
      <c r="T11" s="27">
        <f t="shared" si="4"/>
        <v>8.3588880945129773</v>
      </c>
      <c r="U11" s="27">
        <f>IF($S$13&gt;R11,$G11-$G10,$G11)*T11</f>
        <v>0.33435552378051914</v>
      </c>
      <c r="V11" s="71">
        <f t="shared" si="5"/>
        <v>0</v>
      </c>
      <c r="W11" s="72">
        <f t="shared" si="18"/>
        <v>7</v>
      </c>
      <c r="X11" s="77">
        <f>MAX(0,MIN(W11,62-$B$5))</f>
        <v>7</v>
      </c>
      <c r="Y11" s="27">
        <f t="shared" si="6"/>
        <v>7.2680376242103328</v>
      </c>
      <c r="Z11" s="27">
        <f>IF($X$13&gt;W11,$G11-$G10,$G11)*Y11</f>
        <v>0.29072150496841337</v>
      </c>
      <c r="AA11" s="71">
        <f t="shared" si="7"/>
        <v>0</v>
      </c>
      <c r="AB11" s="72">
        <f t="shared" si="19"/>
        <v>6</v>
      </c>
      <c r="AC11" s="77">
        <f>MAX(0,MIN(AB11,61-$B$5))</f>
        <v>6</v>
      </c>
      <c r="AD11" s="27">
        <f t="shared" si="8"/>
        <v>6.1906544436645383</v>
      </c>
      <c r="AE11" s="27">
        <f>IF($AC$13&gt;AB11,$G11-$G10,$G11)*AD11</f>
        <v>0.24762617774658158</v>
      </c>
      <c r="AF11" s="71">
        <f t="shared" si="9"/>
        <v>0</v>
      </c>
      <c r="AG11" s="72">
        <f t="shared" si="20"/>
        <v>5</v>
      </c>
      <c r="AH11" s="77">
        <f>MAX(0,MIN(AG11,60-$B$5))</f>
        <v>5</v>
      </c>
      <c r="AI11" s="27">
        <f t="shared" si="10"/>
        <v>5.1265722900390465</v>
      </c>
      <c r="AJ11" s="27">
        <f>IF($AH$13&gt;AG11,$G11-$G10,$G11)*AI11</f>
        <v>0.20506289160156191</v>
      </c>
      <c r="AK11" s="71">
        <f t="shared" si="11"/>
        <v>0</v>
      </c>
      <c r="AL11" s="72">
        <f t="shared" si="21"/>
        <v>4</v>
      </c>
      <c r="AM11" s="77">
        <f>MAX(0,MIN(AL11,59-$B$5))</f>
        <v>4</v>
      </c>
      <c r="AN11" s="27">
        <f t="shared" si="12"/>
        <v>4.0756269531249956</v>
      </c>
      <c r="AO11" s="27">
        <f>IF($AM$13&gt;AL11,$G11-$G10,$G11)*AN11</f>
        <v>0.16302507812499986</v>
      </c>
      <c r="AP11" s="71">
        <f t="shared" si="13"/>
        <v>0</v>
      </c>
      <c r="AQ11" s="72">
        <f t="shared" si="22"/>
        <v>3</v>
      </c>
      <c r="AR11" s="77">
        <f>MAX(0,MIN(AQ11,58-$B$5))</f>
        <v>3</v>
      </c>
      <c r="AS11" s="27">
        <f t="shared" si="14"/>
        <v>3.0376562499999871</v>
      </c>
      <c r="AT11" s="27">
        <f>IF($AR$13&gt;AQ11,$G11-$G10,$G11)*AS11</f>
        <v>0.12150624999999951</v>
      </c>
      <c r="AU11" s="71">
        <f t="shared" si="15"/>
        <v>0</v>
      </c>
    </row>
    <row r="12" spans="1:47" x14ac:dyDescent="0.2">
      <c r="A12" s="57" t="s">
        <v>14</v>
      </c>
      <c r="B12" s="78">
        <f>Eingabe_Ausgabe!$C$24</f>
        <v>0</v>
      </c>
      <c r="E12" s="59"/>
      <c r="F12" s="79"/>
      <c r="G12" s="80"/>
      <c r="I12" s="69">
        <f>MONTH($B$4)</f>
        <v>1</v>
      </c>
      <c r="J12" s="27">
        <f>I12*$B$14/12+1</f>
        <v>1.0010416666666666</v>
      </c>
      <c r="K12" s="27">
        <f>$I$12/12*$G$11*$B$13</f>
        <v>0</v>
      </c>
      <c r="L12" s="81">
        <f>SUM(L6:L11)*J12+K12</f>
        <v>0</v>
      </c>
      <c r="M12" s="82"/>
      <c r="N12" s="69" t="str">
        <f>$C$5</f>
        <v>01</v>
      </c>
      <c r="O12" s="27">
        <f>N12*$B$14/12+1</f>
        <v>1.0010416666666666</v>
      </c>
      <c r="P12" s="27">
        <f>$I$12/12*$G$11*$B$13</f>
        <v>0</v>
      </c>
      <c r="Q12" s="81">
        <f>SUM(Q6:Q11)*O12+P12</f>
        <v>0</v>
      </c>
      <c r="R12" s="82"/>
      <c r="S12" s="69" t="str">
        <f>$C$5</f>
        <v>01</v>
      </c>
      <c r="T12" s="27">
        <f>S12*$B$14/12+1</f>
        <v>1.0010416666666666</v>
      </c>
      <c r="U12" s="27">
        <f>$I$12/12*$G$11*$B$13</f>
        <v>0</v>
      </c>
      <c r="V12" s="81">
        <f>SUM(V6:V11)*T12+U12</f>
        <v>0</v>
      </c>
      <c r="W12" s="82"/>
      <c r="X12" s="69" t="str">
        <f>$C$5</f>
        <v>01</v>
      </c>
      <c r="Y12" s="27">
        <f>X12*$B$14/12+1</f>
        <v>1.0010416666666666</v>
      </c>
      <c r="Z12" s="27">
        <f>$I$12/12*$G$11*$B$13</f>
        <v>0</v>
      </c>
      <c r="AA12" s="81">
        <f>SUM(AA6:AA11)*Y12+Z12</f>
        <v>0</v>
      </c>
      <c r="AB12" s="82"/>
      <c r="AC12" s="69" t="str">
        <f>$C$5</f>
        <v>01</v>
      </c>
      <c r="AD12" s="27">
        <f>AC12*$B$14/12+1</f>
        <v>1.0010416666666666</v>
      </c>
      <c r="AE12" s="27">
        <f>$AC$12/12*$G$11*$B$13</f>
        <v>0</v>
      </c>
      <c r="AF12" s="81">
        <f>SUM(AF6:AF11)*AD12+AE12</f>
        <v>0</v>
      </c>
      <c r="AG12" s="82"/>
      <c r="AH12" s="69" t="str">
        <f>$C$5</f>
        <v>01</v>
      </c>
      <c r="AI12" s="27">
        <f>AH12*$B$14/12+1</f>
        <v>1.0010416666666666</v>
      </c>
      <c r="AJ12" s="27">
        <f>$AH$12/12*$G$11*$B$13</f>
        <v>0</v>
      </c>
      <c r="AK12" s="81">
        <f>SUM(AK6:AK11)*AI12+AJ12</f>
        <v>0</v>
      </c>
      <c r="AL12" s="82"/>
      <c r="AM12" s="69" t="str">
        <f>$C$5</f>
        <v>01</v>
      </c>
      <c r="AN12" s="27">
        <f>AM12*$B$14/12+1</f>
        <v>1.0010416666666666</v>
      </c>
      <c r="AO12" s="27">
        <f>$AM$12/12*$G$11*$B$13</f>
        <v>0</v>
      </c>
      <c r="AP12" s="81">
        <f>SUM(AP6:AP11)*AN12+AO12</f>
        <v>0</v>
      </c>
      <c r="AQ12" s="82"/>
      <c r="AR12" s="69" t="str">
        <f>$C$5</f>
        <v>01</v>
      </c>
      <c r="AS12" s="27">
        <f>AR12*$B$14/12+1</f>
        <v>1.0010416666666666</v>
      </c>
      <c r="AT12" s="27">
        <f>$AR$12/12*$G$11*$B$13</f>
        <v>0</v>
      </c>
      <c r="AU12" s="81">
        <f>SUM(AU6:AU11)*AS12+AT12</f>
        <v>0</v>
      </c>
    </row>
    <row r="13" spans="1:47" x14ac:dyDescent="0.2">
      <c r="A13" s="66" t="s">
        <v>41</v>
      </c>
      <c r="B13" s="83">
        <f>Eingabe_Ausgabe!$C$19</f>
        <v>0</v>
      </c>
      <c r="E13" s="59"/>
      <c r="F13" s="84"/>
      <c r="G13" s="85"/>
      <c r="H13" s="86"/>
      <c r="I13" s="87">
        <f>MAX(0,65-$B$5)</f>
        <v>64</v>
      </c>
      <c r="J13" s="60">
        <f>POWER((1+$B$14),I13)*($B$14/12*$I$12+1)</f>
        <v>2.2168392152050842</v>
      </c>
      <c r="K13" s="60"/>
      <c r="L13" s="88" t="e">
        <f>J13*($B$21+$B$35)</f>
        <v>#N/A</v>
      </c>
      <c r="M13" s="89"/>
      <c r="N13" s="87">
        <f>MAX(0,64-$B$5)</f>
        <v>63</v>
      </c>
      <c r="O13" s="60">
        <f>POWER((1+$B$14),N13)*($B$14/12*$I$12+1)</f>
        <v>2.1894708298321817</v>
      </c>
      <c r="P13" s="60"/>
      <c r="Q13" s="88" t="e">
        <f>IF($B$18=64,O13*($B$17+$B$35),O13*($B$21+$B$35))</f>
        <v>#N/A</v>
      </c>
      <c r="R13" s="89"/>
      <c r="S13" s="87">
        <f>MAX(0,63-$B$5)</f>
        <v>62</v>
      </c>
      <c r="T13" s="60">
        <f>POWER((1+$B$14),S13)*($B$14/12*$I$12+1)</f>
        <v>2.1624403257601799</v>
      </c>
      <c r="U13" s="60"/>
      <c r="V13" s="88" t="e">
        <f>IF($B$18=63,T13*($B$17+$B$35),T13*($B$21+$B$35))</f>
        <v>#N/A</v>
      </c>
      <c r="W13" s="89"/>
      <c r="X13" s="87">
        <f>MAX(0,62-$B$5)</f>
        <v>61</v>
      </c>
      <c r="Y13" s="60">
        <f>POWER((1+$B$14),X13)*($B$14/12*$I$12+1)</f>
        <v>2.1357435316149918</v>
      </c>
      <c r="Z13" s="60"/>
      <c r="AA13" s="88" t="e">
        <f>IF($B$18=62,Y13*($B$17+$B$35),Y13*($B$21+$B$35))</f>
        <v>#N/A</v>
      </c>
      <c r="AB13" s="89"/>
      <c r="AC13" s="87">
        <f>MAX(0,61-$B$5)</f>
        <v>60</v>
      </c>
      <c r="AD13" s="60">
        <f>POWER((1+$B$14),AC13)*($B$14/12*$I$12+1)</f>
        <v>2.1093763275209798</v>
      </c>
      <c r="AE13" s="60"/>
      <c r="AF13" s="88" t="e">
        <f>IF($B$18=61,AD13*($B$17+$B$35),AD13*($B$21+$B$35))</f>
        <v>#N/A</v>
      </c>
      <c r="AG13" s="89"/>
      <c r="AH13" s="87">
        <f>MAX(0,60-$B$5)</f>
        <v>59</v>
      </c>
      <c r="AI13" s="60">
        <f>POWER((1+$B$14),AH13)*($B$14/12*$I$12+1)</f>
        <v>2.083334644465165</v>
      </c>
      <c r="AJ13" s="60"/>
      <c r="AK13" s="88" t="e">
        <f>IF(B18=60,AI13*($B$17+$B$35),AI13*($B$21+$B$35))</f>
        <v>#N/A</v>
      </c>
      <c r="AL13" s="89"/>
      <c r="AM13" s="87">
        <f>MAX(0,59-$B$5)</f>
        <v>58</v>
      </c>
      <c r="AN13" s="60">
        <f>POWER((1+$B$14),AM13)*($B$14/12*$I$12+1)</f>
        <v>2.0576144636692995</v>
      </c>
      <c r="AO13" s="60"/>
      <c r="AP13" s="88" t="e">
        <f>IF($B$18,AN13*($B$17+$B$35),AN13*($B$21+$B$35))</f>
        <v>#N/A</v>
      </c>
      <c r="AQ13" s="89"/>
      <c r="AR13" s="87">
        <f>MAX(0,58-$B$5)</f>
        <v>57</v>
      </c>
      <c r="AS13" s="60">
        <f>POWER((1+$B$14),AR13)*($B$14/12*$I$12+1)</f>
        <v>2.0322118159696778</v>
      </c>
      <c r="AT13" s="60"/>
      <c r="AU13" s="88" t="e">
        <f>IF($B$18=58,AS13*($B$17+$B$35),AS13*($B$21+$B$35))</f>
        <v>#N/A</v>
      </c>
    </row>
    <row r="14" spans="1:47" x14ac:dyDescent="0.2">
      <c r="A14" s="66" t="s">
        <v>0</v>
      </c>
      <c r="B14" s="96">
        <v>1.2500000000000001E-2</v>
      </c>
      <c r="E14" s="59"/>
      <c r="F14" s="90" t="s">
        <v>93</v>
      </c>
      <c r="H14" s="57" t="s">
        <v>1</v>
      </c>
      <c r="I14" s="91" t="s">
        <v>2</v>
      </c>
      <c r="L14" s="92" t="e">
        <f>(L12+L13)*L17</f>
        <v>#N/A</v>
      </c>
      <c r="M14" s="82"/>
      <c r="Q14" s="92" t="e">
        <f>(Q12+Q13)*Q17</f>
        <v>#N/A</v>
      </c>
      <c r="R14" s="82"/>
      <c r="V14" s="92" t="e">
        <f>(V12+V13)*V17</f>
        <v>#N/A</v>
      </c>
      <c r="W14" s="82"/>
      <c r="AA14" s="92" t="e">
        <f>(AA12+AA13)*AA17</f>
        <v>#N/A</v>
      </c>
      <c r="AB14" s="82"/>
      <c r="AF14" s="92" t="e">
        <f>(AF12+AF13)*AF17</f>
        <v>#N/A</v>
      </c>
      <c r="AG14" s="82"/>
      <c r="AK14" s="92" t="e">
        <f>(AK12+AK13)*AK17</f>
        <v>#N/A</v>
      </c>
      <c r="AL14" s="82"/>
      <c r="AP14" s="92" t="e">
        <f>(AP12+AP13)*AP17</f>
        <v>#N/A</v>
      </c>
      <c r="AQ14" s="82"/>
      <c r="AU14" s="92" t="e">
        <f>(AU12+AU13)*AU17</f>
        <v>#N/A</v>
      </c>
    </row>
    <row r="15" spans="1:47" x14ac:dyDescent="0.2">
      <c r="A15" s="66" t="s">
        <v>56</v>
      </c>
      <c r="B15" s="67">
        <f>13-MONTH($B$12)</f>
        <v>12</v>
      </c>
      <c r="E15" s="59"/>
      <c r="F15" s="79" t="s">
        <v>4</v>
      </c>
      <c r="G15" s="79"/>
      <c r="L15" s="93" t="e">
        <f>IF($C$7=1,VLOOKUP(YEAR($B$4),Reglement!$M$4:$U$17,9),VLOOKUP(YEAR($B$4),Reglement!$M$23:$U$37,9))</f>
        <v>#N/A</v>
      </c>
      <c r="M15" s="93"/>
      <c r="N15" s="93"/>
      <c r="O15" s="93"/>
      <c r="P15" s="93"/>
      <c r="Q15" s="93" t="e">
        <f>IF($C$7=1,VLOOKUP(YEAR($B$4),Reglement!$M$4:$U$17,8),VLOOKUP(YEAR($B$4),Reglement!$M$23:$U$37,8))</f>
        <v>#N/A</v>
      </c>
      <c r="R15" s="93"/>
      <c r="S15" s="93"/>
      <c r="T15" s="93"/>
      <c r="U15" s="93"/>
      <c r="V15" s="93" t="e">
        <f>IF($C$7=1,VLOOKUP(YEAR($B$4),Reglement!$M$4:$U$17,7),VLOOKUP(YEAR($B$4),Reglement!$M$23:$U$37,7))</f>
        <v>#N/A</v>
      </c>
      <c r="W15" s="93"/>
      <c r="X15" s="93"/>
      <c r="Y15" s="93"/>
      <c r="Z15" s="93"/>
      <c r="AA15" s="93" t="e">
        <f>IF($C$7=1,VLOOKUP(YEAR($B$4),Reglement!$M$4:$U$17,6),VLOOKUP(YEAR($B$4),Reglement!$M$23:$U$37,6))</f>
        <v>#N/A</v>
      </c>
      <c r="AB15" s="93"/>
      <c r="AC15" s="93"/>
      <c r="AD15" s="93"/>
      <c r="AE15" s="93"/>
      <c r="AF15" s="93" t="e">
        <f>IF($C$7=1,VLOOKUP(YEAR($B$4),Reglement!$M$4:$U$17,5),VLOOKUP(YEAR($B$4),Reglement!$M$23:$U$37,5))</f>
        <v>#N/A</v>
      </c>
      <c r="AG15" s="93"/>
      <c r="AH15" s="93"/>
      <c r="AI15" s="93"/>
      <c r="AJ15" s="93"/>
      <c r="AK15" s="93" t="e">
        <f>IF($C$7=1,VLOOKUP(YEAR($B$4),Reglement!$M$4:$U$17,4),VLOOKUP(YEAR($B$4),Reglement!$M$23:$U$37,4))</f>
        <v>#N/A</v>
      </c>
      <c r="AL15" s="93"/>
      <c r="AM15" s="93"/>
      <c r="AN15" s="93"/>
      <c r="AO15" s="93"/>
      <c r="AP15" s="93" t="e">
        <f>IF($C$7=1,VLOOKUP(YEAR($B$4),Reglement!$M$4:$U$17,3),VLOOKUP(YEAR($B$4),Reglement!$M$23:$U$37,3))</f>
        <v>#N/A</v>
      </c>
      <c r="AQ15" s="93"/>
      <c r="AR15" s="93"/>
      <c r="AS15" s="93"/>
      <c r="AT15" s="93"/>
      <c r="AU15" s="93" t="e">
        <f>IF($C$7=1,VLOOKUP(YEAR($B$4),Reglement!$M$4:$U$17,2),VLOOKUP(YEAR($B$4),Reglement!$M$23:$U$37,2))</f>
        <v>#N/A</v>
      </c>
    </row>
    <row r="16" spans="1:47" x14ac:dyDescent="0.2">
      <c r="A16" s="66" t="s">
        <v>41</v>
      </c>
      <c r="B16" s="94">
        <f>Eingabe_Ausgabe!$C$19</f>
        <v>0</v>
      </c>
      <c r="E16" s="59"/>
      <c r="F16" s="79" t="s">
        <v>16</v>
      </c>
      <c r="G16" s="79"/>
      <c r="L16" s="79" t="e">
        <f>L14*L15</f>
        <v>#N/A</v>
      </c>
      <c r="M16" s="79"/>
      <c r="N16" s="79"/>
      <c r="O16" s="79"/>
      <c r="P16" s="79"/>
      <c r="Q16" s="79" t="e">
        <f t="shared" ref="Q16:AK16" si="25">Q14*Q15</f>
        <v>#N/A</v>
      </c>
      <c r="R16" s="79"/>
      <c r="S16" s="79"/>
      <c r="T16" s="79"/>
      <c r="U16" s="79"/>
      <c r="V16" s="79" t="e">
        <f t="shared" si="25"/>
        <v>#N/A</v>
      </c>
      <c r="W16" s="79"/>
      <c r="X16" s="79"/>
      <c r="Y16" s="79"/>
      <c r="Z16" s="79"/>
      <c r="AA16" s="79" t="e">
        <f t="shared" si="25"/>
        <v>#N/A</v>
      </c>
      <c r="AB16" s="79"/>
      <c r="AC16" s="79"/>
      <c r="AD16" s="79"/>
      <c r="AE16" s="79"/>
      <c r="AF16" s="79" t="e">
        <f t="shared" si="25"/>
        <v>#N/A</v>
      </c>
      <c r="AG16" s="79"/>
      <c r="AH16" s="79"/>
      <c r="AI16" s="79"/>
      <c r="AJ16" s="79"/>
      <c r="AK16" s="79" t="e">
        <f t="shared" si="25"/>
        <v>#N/A</v>
      </c>
      <c r="AL16" s="79"/>
      <c r="AM16" s="79"/>
      <c r="AN16" s="79"/>
      <c r="AO16" s="79"/>
      <c r="AP16" s="79" t="e">
        <f t="shared" ref="AP16" si="26">AP14*AP15</f>
        <v>#N/A</v>
      </c>
      <c r="AQ16" s="79"/>
      <c r="AR16" s="79"/>
      <c r="AS16" s="79"/>
      <c r="AT16" s="79"/>
      <c r="AU16" s="79" t="e">
        <f t="shared" ref="AU16" si="27">AU14*AU15</f>
        <v>#N/A</v>
      </c>
    </row>
    <row r="17" spans="1:47" x14ac:dyDescent="0.2">
      <c r="A17" s="66" t="s">
        <v>42</v>
      </c>
      <c r="B17" s="114">
        <f>Eingabe_Ausgabe!$C$23</f>
        <v>0</v>
      </c>
      <c r="E17" s="59"/>
      <c r="F17" s="90"/>
      <c r="L17" s="95">
        <f>IF($B$18&gt;65,0,1)</f>
        <v>1</v>
      </c>
      <c r="M17" s="56"/>
      <c r="Q17" s="95">
        <f>IF($B$18&gt;64,0,1)</f>
        <v>1</v>
      </c>
      <c r="R17" s="56"/>
      <c r="V17" s="95">
        <f>IF($B$18&gt;63,0,1)</f>
        <v>1</v>
      </c>
      <c r="W17" s="56"/>
      <c r="AA17" s="95">
        <f>IF($B$18&gt;62,0,1)</f>
        <v>1</v>
      </c>
      <c r="AB17" s="56"/>
      <c r="AF17" s="95">
        <f>IF($B$18&gt;61,0,1)</f>
        <v>1</v>
      </c>
      <c r="AG17" s="56"/>
      <c r="AK17" s="95">
        <f>IF($B$18&gt;60,0,1)</f>
        <v>1</v>
      </c>
      <c r="AL17" s="56"/>
      <c r="AP17" s="95">
        <f>IF($B$18&gt;59,0,1)</f>
        <v>1</v>
      </c>
      <c r="AQ17" s="56"/>
      <c r="AU17" s="95">
        <f>IF($B$18&gt;58,0,1)</f>
        <v>1</v>
      </c>
    </row>
    <row r="18" spans="1:47" x14ac:dyDescent="0.2">
      <c r="A18" s="57" t="s">
        <v>43</v>
      </c>
      <c r="B18" s="67">
        <f>YEAR($B$12)-YEAR($B$4)</f>
        <v>0</v>
      </c>
      <c r="E18" s="59"/>
      <c r="F18" s="79"/>
      <c r="G18" s="79"/>
    </row>
    <row r="19" spans="1:47" x14ac:dyDescent="0.2">
      <c r="A19" s="57" t="s">
        <v>44</v>
      </c>
      <c r="B19" s="96" t="e">
        <f>IF($B$22=$C$22,VLOOKUP($B$18,Reglement!$A$3:$D$16,2),IF($B$22=$C$23,VLOOKUP($B$18,Reglement!$A$3:$D$16,3),VLOOKUP($B$18,Reglement!$A$3:$D$16,4)))</f>
        <v>#N/A</v>
      </c>
      <c r="C19" s="97"/>
      <c r="D19" s="97"/>
      <c r="E19" s="59"/>
      <c r="F19" s="79"/>
      <c r="G19" s="79"/>
    </row>
    <row r="20" spans="1:47" x14ac:dyDescent="0.2">
      <c r="A20" s="57" t="s">
        <v>45</v>
      </c>
      <c r="B20" s="94" t="e">
        <f>$B$15*(ROUND($B$19*$B$16/12*20,)/20)</f>
        <v>#N/A</v>
      </c>
      <c r="E20" s="59"/>
      <c r="F20" s="97"/>
      <c r="G20" s="98"/>
      <c r="H20" s="98"/>
      <c r="I20" s="98"/>
      <c r="J20" s="54"/>
      <c r="K20" s="54"/>
      <c r="L20" s="97"/>
    </row>
    <row r="21" spans="1:47" x14ac:dyDescent="0.2">
      <c r="A21" s="66" t="s">
        <v>46</v>
      </c>
      <c r="B21" s="99" t="e">
        <f>ROUND((1+($B$15*$B$14/12))*$B$17*20,)/20+$B$20</f>
        <v>#N/A</v>
      </c>
      <c r="C21" s="97"/>
      <c r="D21" s="97"/>
      <c r="E21" s="59"/>
      <c r="F21" s="112" t="s">
        <v>9</v>
      </c>
      <c r="G21" s="100"/>
      <c r="H21" s="69"/>
      <c r="I21" s="69"/>
      <c r="L21" s="95"/>
    </row>
    <row r="22" spans="1:47" x14ac:dyDescent="0.2">
      <c r="A22" s="57" t="s">
        <v>52</v>
      </c>
      <c r="B22" s="73">
        <f>Eingabe_Ausgabe!$C$21</f>
        <v>0</v>
      </c>
      <c r="C22" s="101" t="s">
        <v>8</v>
      </c>
      <c r="E22" s="59"/>
      <c r="F22" s="60"/>
      <c r="G22" s="61"/>
      <c r="H22" s="163" t="s">
        <v>32</v>
      </c>
      <c r="I22" s="163"/>
      <c r="J22" s="163"/>
      <c r="K22" s="163"/>
      <c r="L22" s="164"/>
      <c r="M22" s="162" t="s">
        <v>33</v>
      </c>
      <c r="N22" s="163"/>
      <c r="O22" s="163"/>
      <c r="P22" s="163"/>
      <c r="Q22" s="164"/>
      <c r="R22" s="162" t="s">
        <v>34</v>
      </c>
      <c r="S22" s="163"/>
      <c r="T22" s="163"/>
      <c r="U22" s="163"/>
      <c r="V22" s="164"/>
      <c r="W22" s="162" t="s">
        <v>35</v>
      </c>
      <c r="X22" s="163"/>
      <c r="Y22" s="163"/>
      <c r="Z22" s="163"/>
      <c r="AA22" s="164"/>
      <c r="AB22" s="162" t="s">
        <v>36</v>
      </c>
      <c r="AC22" s="163"/>
      <c r="AD22" s="163"/>
      <c r="AE22" s="163"/>
      <c r="AF22" s="164"/>
      <c r="AG22" s="162" t="s">
        <v>37</v>
      </c>
      <c r="AH22" s="163"/>
      <c r="AI22" s="163"/>
      <c r="AJ22" s="163"/>
      <c r="AK22" s="164"/>
      <c r="AL22" s="162" t="s">
        <v>91</v>
      </c>
      <c r="AM22" s="163"/>
      <c r="AN22" s="163"/>
      <c r="AO22" s="163"/>
      <c r="AP22" s="164"/>
      <c r="AQ22" s="162" t="s">
        <v>92</v>
      </c>
      <c r="AR22" s="163"/>
      <c r="AS22" s="163"/>
      <c r="AT22" s="163"/>
      <c r="AU22" s="164"/>
    </row>
    <row r="23" spans="1:47" ht="12.75" customHeight="1" x14ac:dyDescent="0.2">
      <c r="C23" s="101" t="s">
        <v>9</v>
      </c>
      <c r="E23" s="65"/>
      <c r="F23" s="167" t="s">
        <v>3</v>
      </c>
      <c r="G23" s="172" t="s">
        <v>38</v>
      </c>
      <c r="H23" s="167" t="s">
        <v>12</v>
      </c>
      <c r="I23" s="167" t="s">
        <v>13</v>
      </c>
      <c r="J23" s="168" t="s">
        <v>7</v>
      </c>
      <c r="K23" s="168" t="s">
        <v>2</v>
      </c>
      <c r="L23" s="170" t="s">
        <v>1</v>
      </c>
      <c r="M23" s="165" t="s">
        <v>12</v>
      </c>
      <c r="N23" s="167" t="s">
        <v>13</v>
      </c>
      <c r="O23" s="168" t="s">
        <v>7</v>
      </c>
      <c r="P23" s="168" t="s">
        <v>2</v>
      </c>
      <c r="Q23" s="170" t="s">
        <v>1</v>
      </c>
      <c r="R23" s="165" t="s">
        <v>12</v>
      </c>
      <c r="S23" s="167" t="s">
        <v>13</v>
      </c>
      <c r="T23" s="168" t="s">
        <v>7</v>
      </c>
      <c r="U23" s="168" t="s">
        <v>2</v>
      </c>
      <c r="V23" s="170" t="s">
        <v>1</v>
      </c>
      <c r="W23" s="165" t="s">
        <v>12</v>
      </c>
      <c r="X23" s="167" t="s">
        <v>13</v>
      </c>
      <c r="Y23" s="168" t="s">
        <v>7</v>
      </c>
      <c r="Z23" s="168" t="s">
        <v>2</v>
      </c>
      <c r="AA23" s="170" t="s">
        <v>1</v>
      </c>
      <c r="AB23" s="165" t="s">
        <v>12</v>
      </c>
      <c r="AC23" s="167" t="s">
        <v>13</v>
      </c>
      <c r="AD23" s="168" t="s">
        <v>7</v>
      </c>
      <c r="AE23" s="168" t="s">
        <v>2</v>
      </c>
      <c r="AF23" s="170" t="s">
        <v>1</v>
      </c>
      <c r="AG23" s="165" t="s">
        <v>12</v>
      </c>
      <c r="AH23" s="167" t="s">
        <v>13</v>
      </c>
      <c r="AI23" s="168" t="s">
        <v>7</v>
      </c>
      <c r="AJ23" s="168" t="s">
        <v>2</v>
      </c>
      <c r="AK23" s="170" t="s">
        <v>1</v>
      </c>
      <c r="AL23" s="165" t="s">
        <v>12</v>
      </c>
      <c r="AM23" s="167" t="s">
        <v>13</v>
      </c>
      <c r="AN23" s="168" t="s">
        <v>7</v>
      </c>
      <c r="AO23" s="168" t="s">
        <v>2</v>
      </c>
      <c r="AP23" s="170" t="s">
        <v>1</v>
      </c>
      <c r="AQ23" s="165" t="s">
        <v>12</v>
      </c>
      <c r="AR23" s="167" t="s">
        <v>13</v>
      </c>
      <c r="AS23" s="168" t="s">
        <v>7</v>
      </c>
      <c r="AT23" s="168" t="s">
        <v>2</v>
      </c>
      <c r="AU23" s="170" t="s">
        <v>1</v>
      </c>
    </row>
    <row r="24" spans="1:47" ht="12.75" customHeight="1" x14ac:dyDescent="0.2">
      <c r="B24" s="102"/>
      <c r="C24" s="103" t="s">
        <v>11</v>
      </c>
      <c r="D24" s="102"/>
      <c r="E24" s="68"/>
      <c r="F24" s="161"/>
      <c r="G24" s="173" t="s">
        <v>8</v>
      </c>
      <c r="H24" s="161" t="s">
        <v>12</v>
      </c>
      <c r="I24" s="161" t="s">
        <v>12</v>
      </c>
      <c r="J24" s="169" t="s">
        <v>7</v>
      </c>
      <c r="K24" s="169" t="s">
        <v>7</v>
      </c>
      <c r="L24" s="171" t="s">
        <v>1</v>
      </c>
      <c r="M24" s="165" t="s">
        <v>12</v>
      </c>
      <c r="N24" s="161" t="s">
        <v>12</v>
      </c>
      <c r="O24" s="169" t="s">
        <v>7</v>
      </c>
      <c r="P24" s="169" t="s">
        <v>7</v>
      </c>
      <c r="Q24" s="171" t="s">
        <v>1</v>
      </c>
      <c r="R24" s="166" t="s">
        <v>12</v>
      </c>
      <c r="S24" s="161" t="s">
        <v>12</v>
      </c>
      <c r="T24" s="169" t="s">
        <v>7</v>
      </c>
      <c r="U24" s="169" t="s">
        <v>7</v>
      </c>
      <c r="V24" s="171" t="s">
        <v>1</v>
      </c>
      <c r="W24" s="166" t="s">
        <v>12</v>
      </c>
      <c r="X24" s="161" t="s">
        <v>12</v>
      </c>
      <c r="Y24" s="169" t="s">
        <v>7</v>
      </c>
      <c r="Z24" s="169" t="s">
        <v>7</v>
      </c>
      <c r="AA24" s="171" t="s">
        <v>1</v>
      </c>
      <c r="AB24" s="166" t="s">
        <v>12</v>
      </c>
      <c r="AC24" s="161" t="s">
        <v>12</v>
      </c>
      <c r="AD24" s="169" t="s">
        <v>7</v>
      </c>
      <c r="AE24" s="169" t="s">
        <v>7</v>
      </c>
      <c r="AF24" s="171" t="s">
        <v>1</v>
      </c>
      <c r="AG24" s="166" t="s">
        <v>12</v>
      </c>
      <c r="AH24" s="161" t="s">
        <v>12</v>
      </c>
      <c r="AI24" s="169" t="s">
        <v>7</v>
      </c>
      <c r="AJ24" s="169" t="s">
        <v>7</v>
      </c>
      <c r="AK24" s="171" t="s">
        <v>1</v>
      </c>
      <c r="AL24" s="166" t="s">
        <v>12</v>
      </c>
      <c r="AM24" s="161" t="s">
        <v>12</v>
      </c>
      <c r="AN24" s="169" t="s">
        <v>7</v>
      </c>
      <c r="AO24" s="169" t="s">
        <v>7</v>
      </c>
      <c r="AP24" s="171" t="s">
        <v>1</v>
      </c>
      <c r="AQ24" s="166" t="s">
        <v>12</v>
      </c>
      <c r="AR24" s="161" t="s">
        <v>12</v>
      </c>
      <c r="AS24" s="169" t="s">
        <v>7</v>
      </c>
      <c r="AT24" s="169" t="s">
        <v>7</v>
      </c>
      <c r="AU24" s="171" t="s">
        <v>1</v>
      </c>
    </row>
    <row r="25" spans="1:47" x14ac:dyDescent="0.2">
      <c r="A25" s="76"/>
      <c r="B25" s="102"/>
      <c r="C25" s="102"/>
      <c r="D25" s="102"/>
      <c r="F25" s="69">
        <v>25</v>
      </c>
      <c r="G25" s="70">
        <v>0.105</v>
      </c>
      <c r="H25" s="69">
        <v>40</v>
      </c>
      <c r="I25" s="69">
        <f>IF($B$5&lt;$F26,MIN(H25,65-$B$5),0)</f>
        <v>40</v>
      </c>
      <c r="J25" s="27">
        <f t="shared" ref="J25:J30" si="28">(POWER((1+$B$14),I25)-1)/$B$14</f>
        <v>51.489557078960978</v>
      </c>
      <c r="K25" s="27">
        <f>$G25*J25</f>
        <v>5.4064034932909024</v>
      </c>
      <c r="L25" s="71">
        <f t="shared" ref="L25:L30" si="29">$B$13*K25</f>
        <v>0</v>
      </c>
      <c r="M25" s="72">
        <f>H25-1</f>
        <v>39</v>
      </c>
      <c r="N25" s="69">
        <f>IF($B$5&lt;$F26,MIN(M25,64-$B$5),0)</f>
        <v>39</v>
      </c>
      <c r="O25" s="27">
        <f t="shared" ref="O25:O30" si="30">(POWER((1+$B$14),N25)-1)/$B$14</f>
        <v>49.866229213788614</v>
      </c>
      <c r="P25" s="27">
        <f>$G25*O25</f>
        <v>5.2359540674478042</v>
      </c>
      <c r="Q25" s="71">
        <f t="shared" ref="Q25:Q30" si="31">$B$13*P25</f>
        <v>0</v>
      </c>
      <c r="R25" s="72">
        <f>M25-1</f>
        <v>38</v>
      </c>
      <c r="S25" s="69">
        <f>IF($B$5&lt;$F26,MIN(R25,63-$B$5),0)</f>
        <v>38</v>
      </c>
      <c r="T25" s="27">
        <f t="shared" ref="T25:T30" si="32">(POWER((1+$B$14),S25)-1)/$B$14</f>
        <v>48.262942433371485</v>
      </c>
      <c r="U25" s="27">
        <f>$G25*T25</f>
        <v>5.0676089555040056</v>
      </c>
      <c r="V25" s="71">
        <f t="shared" ref="V25:V30" si="33">$B$13*U25</f>
        <v>0</v>
      </c>
      <c r="W25" s="72">
        <f>R25-1</f>
        <v>37</v>
      </c>
      <c r="X25" s="69">
        <f>IF($B$5&lt;$F26,MIN(W25,62-$B$5),0)</f>
        <v>37</v>
      </c>
      <c r="Y25" s="27">
        <f t="shared" ref="Y25:Y30" si="34">(POWER((1+$B$14),X25)-1)/$B$14</f>
        <v>46.679449316910109</v>
      </c>
      <c r="Z25" s="27">
        <f>$G25*Y25</f>
        <v>4.9013421782755611</v>
      </c>
      <c r="AA25" s="71">
        <f t="shared" ref="AA25:AA30" si="35">$B$13*Z25</f>
        <v>0</v>
      </c>
      <c r="AB25" s="72">
        <f>W25-1</f>
        <v>36</v>
      </c>
      <c r="AC25" s="69">
        <f>IF($B$5&lt;$F26,MIN(AB25,61-$B$5),0)</f>
        <v>36</v>
      </c>
      <c r="AD25" s="27">
        <f t="shared" ref="AD25:AD30" si="36">(POWER((1+$B$14),AC25)-1)/$B$14</f>
        <v>45.115505498182827</v>
      </c>
      <c r="AE25" s="27">
        <f>$G25*AD25</f>
        <v>4.7371280773091966</v>
      </c>
      <c r="AF25" s="71">
        <f t="shared" ref="AF25:AF30" si="37">$B$13*AE25</f>
        <v>0</v>
      </c>
      <c r="AG25" s="72">
        <f>AB25-1</f>
        <v>35</v>
      </c>
      <c r="AH25" s="69">
        <f>IF($B$5&lt;$F26,MIN(AG25,60-$B$5),0)</f>
        <v>35</v>
      </c>
      <c r="AI25" s="27">
        <f t="shared" ref="AI25:AI30" si="38">(POWER((1+$B$14),AH25)-1)/$B$14</f>
        <v>43.570869627834888</v>
      </c>
      <c r="AJ25" s="27">
        <f>$G25*AI25</f>
        <v>4.5749413109226627</v>
      </c>
      <c r="AK25" s="71">
        <f t="shared" ref="AK25:AK30" si="39">$B$13*AJ25</f>
        <v>0</v>
      </c>
      <c r="AL25" s="72">
        <f>AG25-1</f>
        <v>34</v>
      </c>
      <c r="AM25" s="69">
        <f>IF($B$5&lt;$F26,MIN(AL25,59-$B$5),0)</f>
        <v>34</v>
      </c>
      <c r="AN25" s="27">
        <f t="shared" ref="AN25:AN30" si="40">(POWER((1+$B$14),AM25)-1)/$B$14</f>
        <v>42.045303336133237</v>
      </c>
      <c r="AO25" s="27">
        <f>$G25*AN25</f>
        <v>4.4147568502939896</v>
      </c>
      <c r="AP25" s="71">
        <f t="shared" ref="AP25:AP30" si="41">$B$13*AO25</f>
        <v>0</v>
      </c>
      <c r="AQ25" s="72">
        <f>AL25-1</f>
        <v>33</v>
      </c>
      <c r="AR25" s="69">
        <f>IF($B$5&lt;$F26,MIN(AQ25,58-$B$5),0)</f>
        <v>33</v>
      </c>
      <c r="AS25" s="27">
        <f t="shared" ref="AS25:AS30" si="42">(POWER((1+$B$14),AR25)-1)/$B$14</f>
        <v>40.538571196180975</v>
      </c>
      <c r="AT25" s="27">
        <f>$G25*AS25</f>
        <v>4.2565499755990022</v>
      </c>
      <c r="AU25" s="71">
        <f t="shared" ref="AU25:AU30" si="43">$B$13*AT25</f>
        <v>0</v>
      </c>
    </row>
    <row r="26" spans="1:47" x14ac:dyDescent="0.2">
      <c r="C26" s="102"/>
      <c r="D26" s="102"/>
      <c r="E26" s="74"/>
      <c r="F26" s="69">
        <v>35</v>
      </c>
      <c r="G26" s="70">
        <v>0.16500000000000001</v>
      </c>
      <c r="H26" s="69">
        <v>30</v>
      </c>
      <c r="I26" s="69">
        <f>IF($B$5&lt;$F27,MIN(H26,65-$B$5),0)</f>
        <v>30</v>
      </c>
      <c r="J26" s="27">
        <f t="shared" si="28"/>
        <v>36.12906880057178</v>
      </c>
      <c r="K26" s="27">
        <f>IF($I$13&gt;H26,$G26-$G25,$G26)*J26</f>
        <v>2.167744128034307</v>
      </c>
      <c r="L26" s="71">
        <f t="shared" si="29"/>
        <v>0</v>
      </c>
      <c r="M26" s="72">
        <f t="shared" ref="M26:M30" si="44">H26-1</f>
        <v>29</v>
      </c>
      <c r="N26" s="69">
        <f>IF($B$5&lt;$F27,MIN(M26,64-$B$5),0)</f>
        <v>29</v>
      </c>
      <c r="O26" s="27">
        <f t="shared" si="30"/>
        <v>34.695376593157278</v>
      </c>
      <c r="P26" s="27">
        <f>IF($N$13&gt;M26,$G26-$G25,$G26)*O26</f>
        <v>2.081722595589437</v>
      </c>
      <c r="Q26" s="71">
        <f t="shared" si="31"/>
        <v>0</v>
      </c>
      <c r="R26" s="72">
        <f t="shared" ref="R26:R30" si="45">M26-1</f>
        <v>28</v>
      </c>
      <c r="S26" s="69">
        <f>IF($B$5&lt;$F27,MIN(R26,63-$B$5),0)</f>
        <v>28</v>
      </c>
      <c r="T26" s="27">
        <f t="shared" si="32"/>
        <v>33.279384289538072</v>
      </c>
      <c r="U26" s="27">
        <f>IF($S$13&gt;R26,$G26-$G25,$G26)*T26</f>
        <v>1.9967630573722848</v>
      </c>
      <c r="V26" s="71">
        <f t="shared" si="33"/>
        <v>0</v>
      </c>
      <c r="W26" s="72">
        <f t="shared" ref="W26:W30" si="46">R26-1</f>
        <v>27</v>
      </c>
      <c r="X26" s="69">
        <f>IF($B$5&lt;$F27,MIN(W26,62-$B$5),0)</f>
        <v>27</v>
      </c>
      <c r="Y26" s="27">
        <f t="shared" si="34"/>
        <v>31.880873372383274</v>
      </c>
      <c r="Z26" s="27">
        <f>IF($X$13&gt;W26,$G26-$G25,$G26)*Y26</f>
        <v>1.9128524023429967</v>
      </c>
      <c r="AA26" s="71">
        <f t="shared" si="35"/>
        <v>0</v>
      </c>
      <c r="AB26" s="72">
        <f t="shared" ref="AB26:AB30" si="47">W26-1</f>
        <v>26</v>
      </c>
      <c r="AC26" s="69">
        <f>IF($B$5&lt;$F27,MIN(AB26,61-$B$5),0)</f>
        <v>26</v>
      </c>
      <c r="AD26" s="27">
        <f t="shared" si="36"/>
        <v>30.499628022106968</v>
      </c>
      <c r="AE26" s="27">
        <f>IF($AC$13&gt;AB26,$G26-$G25,$G26)*AD26</f>
        <v>1.8299776813264184</v>
      </c>
      <c r="AF26" s="71">
        <f t="shared" si="37"/>
        <v>0</v>
      </c>
      <c r="AG26" s="72">
        <f t="shared" ref="AG26:AG30" si="48">AB26-1</f>
        <v>25</v>
      </c>
      <c r="AH26" s="69">
        <f>IF($B$5&lt;$F27,MIN(AG26,60-$B$5),0)</f>
        <v>25</v>
      </c>
      <c r="AI26" s="27">
        <f t="shared" si="38"/>
        <v>29.135435083562413</v>
      </c>
      <c r="AJ26" s="27">
        <f>IF($AH$13&gt;AG26,$G26-$G25,$G26)*AI26</f>
        <v>1.7481261050137451</v>
      </c>
      <c r="AK26" s="71">
        <f t="shared" si="39"/>
        <v>0</v>
      </c>
      <c r="AL26" s="72">
        <f t="shared" ref="AL26:AL30" si="49">AG26-1</f>
        <v>24</v>
      </c>
      <c r="AM26" s="69">
        <f>IF($B$5&lt;$F27,MIN(AL26,59-$B$5),0)</f>
        <v>24</v>
      </c>
      <c r="AN26" s="27">
        <f t="shared" si="40"/>
        <v>27.788084033148071</v>
      </c>
      <c r="AO26" s="27">
        <f>IF($AM$13&gt;AL26,$G26-$G25,$G26)*AN26</f>
        <v>1.6672850419888845</v>
      </c>
      <c r="AP26" s="71">
        <f t="shared" si="41"/>
        <v>0</v>
      </c>
      <c r="AQ26" s="72">
        <f t="shared" ref="AQ26:AQ30" si="50">AL26-1</f>
        <v>23</v>
      </c>
      <c r="AR26" s="69">
        <f>IF($B$5&lt;$F27,MIN(AQ26,58-$B$5),0)</f>
        <v>23</v>
      </c>
      <c r="AS26" s="27">
        <f t="shared" si="42"/>
        <v>26.45736694631907</v>
      </c>
      <c r="AT26" s="27">
        <f>IF($AR$13&gt;AQ26,$G26-$G25,$G26)*AS26</f>
        <v>1.5874420167791445</v>
      </c>
      <c r="AU26" s="71">
        <f t="shared" si="43"/>
        <v>0</v>
      </c>
    </row>
    <row r="27" spans="1:47" x14ac:dyDescent="0.2">
      <c r="A27" s="104" t="s">
        <v>61</v>
      </c>
      <c r="B27" s="91"/>
      <c r="C27" s="91"/>
      <c r="E27" s="59"/>
      <c r="F27" s="69">
        <v>40</v>
      </c>
      <c r="G27" s="70">
        <v>0.17499999999999999</v>
      </c>
      <c r="H27" s="69">
        <v>25</v>
      </c>
      <c r="I27" s="69">
        <f>IF($B$5&lt;$F28,MIN(H27,65-$B$5),0)</f>
        <v>25</v>
      </c>
      <c r="J27" s="27">
        <f t="shared" si="28"/>
        <v>29.135435083562413</v>
      </c>
      <c r="K27" s="27">
        <f t="shared" ref="K27:K30" si="51">IF($I$13&gt;H27,$G27-$G26,$G27)*J27</f>
        <v>0.29135435083562355</v>
      </c>
      <c r="L27" s="71">
        <f t="shared" si="29"/>
        <v>0</v>
      </c>
      <c r="M27" s="72">
        <f t="shared" si="44"/>
        <v>24</v>
      </c>
      <c r="N27" s="69">
        <f>IF($B$5&lt;$F28,MIN(M27,64-$B$5),0)</f>
        <v>24</v>
      </c>
      <c r="O27" s="27">
        <f t="shared" si="30"/>
        <v>27.788084033148071</v>
      </c>
      <c r="P27" s="27">
        <f>IF($N$13&gt;M27,$G27-$G26,$G27)*O27</f>
        <v>0.27788084033148019</v>
      </c>
      <c r="Q27" s="71">
        <f t="shared" si="31"/>
        <v>0</v>
      </c>
      <c r="R27" s="72">
        <f t="shared" si="45"/>
        <v>23</v>
      </c>
      <c r="S27" s="69">
        <f>IF($B$5&lt;$F28,MIN(R27,63-$B$5),0)</f>
        <v>23</v>
      </c>
      <c r="T27" s="27">
        <f t="shared" si="32"/>
        <v>26.45736694631907</v>
      </c>
      <c r="U27" s="27">
        <f>IF($S$13&gt;R27,$G27-$G26,$G27)*T27</f>
        <v>0.26457366946319022</v>
      </c>
      <c r="V27" s="71">
        <f t="shared" si="33"/>
        <v>0</v>
      </c>
      <c r="W27" s="72">
        <f t="shared" si="46"/>
        <v>22</v>
      </c>
      <c r="X27" s="69">
        <f>IF($B$5&lt;$F28,MIN(W27,62-$B$5),0)</f>
        <v>22</v>
      </c>
      <c r="Y27" s="27">
        <f t="shared" si="34"/>
        <v>25.143078465500324</v>
      </c>
      <c r="Z27" s="27">
        <f>IF($X$13&gt;W27,$G27-$G26,$G27)*Y27</f>
        <v>0.25143078465500274</v>
      </c>
      <c r="AA27" s="71">
        <f t="shared" si="35"/>
        <v>0</v>
      </c>
      <c r="AB27" s="72">
        <f t="shared" si="47"/>
        <v>21</v>
      </c>
      <c r="AC27" s="69">
        <f>IF($B$5&lt;$F28,MIN(AB27,61-$B$5),0)</f>
        <v>21</v>
      </c>
      <c r="AD27" s="27">
        <f t="shared" si="36"/>
        <v>23.845015768395381</v>
      </c>
      <c r="AE27" s="27">
        <f>IF($AC$13&gt;AB27,$G27-$G26,$G27)*AD27</f>
        <v>0.23845015768395336</v>
      </c>
      <c r="AF27" s="71">
        <f t="shared" si="37"/>
        <v>0</v>
      </c>
      <c r="AG27" s="72">
        <f t="shared" si="48"/>
        <v>20</v>
      </c>
      <c r="AH27" s="69">
        <f>IF($B$5&lt;$F28,MIN(AG27,60-$B$5),0)</f>
        <v>20</v>
      </c>
      <c r="AI27" s="27">
        <f t="shared" si="38"/>
        <v>22.562978536686806</v>
      </c>
      <c r="AJ27" s="27">
        <f>IF($AH$13&gt;AG27,$G27-$G26,$G27)*AI27</f>
        <v>0.22562978536686765</v>
      </c>
      <c r="AK27" s="71">
        <f t="shared" si="39"/>
        <v>0</v>
      </c>
      <c r="AL27" s="72">
        <f t="shared" si="49"/>
        <v>19</v>
      </c>
      <c r="AM27" s="69">
        <f>IF($B$5&lt;$F28,MIN(AL27,59-$B$5),0)</f>
        <v>19</v>
      </c>
      <c r="AN27" s="27">
        <f t="shared" si="40"/>
        <v>21.296768925122773</v>
      </c>
      <c r="AO27" s="27">
        <f>IF($AM$13&gt;AL27,$G27-$G26,$G27)*AN27</f>
        <v>0.21296768925122733</v>
      </c>
      <c r="AP27" s="71">
        <f t="shared" si="41"/>
        <v>0</v>
      </c>
      <c r="AQ27" s="72">
        <f t="shared" si="50"/>
        <v>18</v>
      </c>
      <c r="AR27" s="69">
        <f>IF($B$5&lt;$F28,MIN(AQ27,58-$B$5),0)</f>
        <v>18</v>
      </c>
      <c r="AS27" s="27">
        <f t="shared" si="42"/>
        <v>20.046191530985471</v>
      </c>
      <c r="AT27" s="27">
        <f>IF($AR$13&gt;AQ27,$G27-$G26,$G27)*AS27</f>
        <v>0.20046191530985433</v>
      </c>
      <c r="AU27" s="71">
        <f t="shared" si="43"/>
        <v>0</v>
      </c>
    </row>
    <row r="28" spans="1:47" x14ac:dyDescent="0.2">
      <c r="A28" s="104" t="s">
        <v>53</v>
      </c>
      <c r="B28" s="105" t="str">
        <f>Eingabe_Ausgabe!$C$27</f>
        <v>Wechsel Wahlplan</v>
      </c>
      <c r="C28" s="102"/>
      <c r="D28" s="102"/>
      <c r="E28" s="59"/>
      <c r="F28" s="75">
        <v>45</v>
      </c>
      <c r="G28" s="70">
        <v>0.22500000000000001</v>
      </c>
      <c r="H28" s="69">
        <v>20</v>
      </c>
      <c r="I28" s="69">
        <f>IF($B$5&lt;$F29,MIN(H28,65-$B$5),0)</f>
        <v>20</v>
      </c>
      <c r="J28" s="27">
        <f t="shared" si="28"/>
        <v>22.562978536686806</v>
      </c>
      <c r="K28" s="27">
        <f t="shared" si="51"/>
        <v>1.1281489268343408</v>
      </c>
      <c r="L28" s="71">
        <f t="shared" si="29"/>
        <v>0</v>
      </c>
      <c r="M28" s="72">
        <f t="shared" si="44"/>
        <v>19</v>
      </c>
      <c r="N28" s="69">
        <f>IF($B$5&lt;$F29,MIN(M28,64-$B$5),0)</f>
        <v>19</v>
      </c>
      <c r="O28" s="27">
        <f t="shared" si="30"/>
        <v>21.296768925122773</v>
      </c>
      <c r="P28" s="27">
        <f>IF($N$13&gt;M28,$G28-$G27,$G28)*O28</f>
        <v>1.0648384462561391</v>
      </c>
      <c r="Q28" s="71">
        <f t="shared" si="31"/>
        <v>0</v>
      </c>
      <c r="R28" s="72">
        <f t="shared" si="45"/>
        <v>18</v>
      </c>
      <c r="S28" s="69">
        <f>IF($B$5&lt;$F29,MIN(R28,63-$B$5),0)</f>
        <v>18</v>
      </c>
      <c r="T28" s="27">
        <f t="shared" si="32"/>
        <v>20.046191530985471</v>
      </c>
      <c r="U28" s="27">
        <f>IF($S$13&gt;R28,$G28-$G27,$G28)*T28</f>
        <v>1.002309576549274</v>
      </c>
      <c r="V28" s="71">
        <f t="shared" si="33"/>
        <v>0</v>
      </c>
      <c r="W28" s="72">
        <f t="shared" si="46"/>
        <v>17</v>
      </c>
      <c r="X28" s="69">
        <f>IF($B$5&lt;$F29,MIN(W28,62-$B$5),0)</f>
        <v>17</v>
      </c>
      <c r="Y28" s="27">
        <f t="shared" si="34"/>
        <v>18.811053363936256</v>
      </c>
      <c r="Z28" s="27">
        <f>IF($X$13&gt;W28,$G28-$G27,$G28)*Y28</f>
        <v>0.94055266819681316</v>
      </c>
      <c r="AA28" s="71">
        <f t="shared" si="35"/>
        <v>0</v>
      </c>
      <c r="AB28" s="72">
        <f t="shared" si="47"/>
        <v>16</v>
      </c>
      <c r="AC28" s="69">
        <f>IF($B$5&lt;$F29,MIN(AB28,61-$B$5),0)</f>
        <v>16</v>
      </c>
      <c r="AD28" s="27">
        <f t="shared" si="36"/>
        <v>17.591163816233344</v>
      </c>
      <c r="AE28" s="27">
        <f>IF($AC$13&gt;AB28,$G28-$G27,$G28)*AD28</f>
        <v>0.87955819081166753</v>
      </c>
      <c r="AF28" s="71">
        <f t="shared" si="37"/>
        <v>0</v>
      </c>
      <c r="AG28" s="72">
        <f t="shared" si="48"/>
        <v>15</v>
      </c>
      <c r="AH28" s="69">
        <f>IF($B$5&lt;$F29,MIN(AG28,60-$B$5),0)</f>
        <v>15</v>
      </c>
      <c r="AI28" s="27">
        <f t="shared" si="38"/>
        <v>16.386334633316864</v>
      </c>
      <c r="AJ28" s="27">
        <f>IF($AH$13&gt;AG28,$G28-$G27,$G28)*AI28</f>
        <v>0.8193167316658434</v>
      </c>
      <c r="AK28" s="71">
        <f t="shared" si="39"/>
        <v>0</v>
      </c>
      <c r="AL28" s="72">
        <f t="shared" si="49"/>
        <v>14</v>
      </c>
      <c r="AM28" s="69">
        <f>IF($B$5&lt;$F29,MIN(AL28,59-$B$5),0)</f>
        <v>14</v>
      </c>
      <c r="AN28" s="27">
        <f t="shared" si="40"/>
        <v>15.196379884757416</v>
      </c>
      <c r="AO28" s="27">
        <f>IF($AM$13&gt;AL28,$G28-$G27,$G28)*AN28</f>
        <v>0.75981899423787103</v>
      </c>
      <c r="AP28" s="71">
        <f t="shared" si="41"/>
        <v>0</v>
      </c>
      <c r="AQ28" s="72">
        <f t="shared" si="50"/>
        <v>13</v>
      </c>
      <c r="AR28" s="69">
        <f>IF($B$5&lt;$F29,MIN(AQ28,58-$B$5),0)</f>
        <v>13</v>
      </c>
      <c r="AS28" s="27">
        <f t="shared" si="42"/>
        <v>14.021115935562865</v>
      </c>
      <c r="AT28" s="27">
        <f>IF($AR$13&gt;AQ28,$G28-$G27,$G28)*AS28</f>
        <v>0.70105579677814345</v>
      </c>
      <c r="AU28" s="71">
        <f t="shared" si="43"/>
        <v>0</v>
      </c>
    </row>
    <row r="29" spans="1:47" x14ac:dyDescent="0.2">
      <c r="A29" s="104" t="s">
        <v>58</v>
      </c>
      <c r="B29" s="106">
        <f>Eingabe_Ausgabe!$C$28</f>
        <v>0</v>
      </c>
      <c r="C29" s="102"/>
      <c r="D29" s="102"/>
      <c r="E29" s="59"/>
      <c r="F29" s="75">
        <v>50</v>
      </c>
      <c r="G29" s="70">
        <v>0.23499999999999999</v>
      </c>
      <c r="H29" s="69">
        <v>15</v>
      </c>
      <c r="I29" s="69">
        <f>IF($B$5&lt;$F30,MIN(H29,65-$B$5),0)</f>
        <v>15</v>
      </c>
      <c r="J29" s="27">
        <f t="shared" si="28"/>
        <v>16.386334633316864</v>
      </c>
      <c r="K29" s="27">
        <f t="shared" si="51"/>
        <v>0.16386334633316832</v>
      </c>
      <c r="L29" s="71">
        <f t="shared" si="29"/>
        <v>0</v>
      </c>
      <c r="M29" s="72">
        <f t="shared" si="44"/>
        <v>14</v>
      </c>
      <c r="N29" s="69">
        <f>IF($B$5&lt;$F30,MIN(M29,64-$B$5),0)</f>
        <v>14</v>
      </c>
      <c r="O29" s="27">
        <f t="shared" si="30"/>
        <v>15.196379884757416</v>
      </c>
      <c r="P29" s="27">
        <f>IF($N$13&gt;M29,$G29-$G28,$G29)*O29</f>
        <v>0.15196379884757388</v>
      </c>
      <c r="Q29" s="71">
        <f t="shared" si="31"/>
        <v>0</v>
      </c>
      <c r="R29" s="72">
        <f t="shared" si="45"/>
        <v>13</v>
      </c>
      <c r="S29" s="69">
        <f>IF($B$5&lt;$F30,MIN(R29,63-$B$5),0)</f>
        <v>13</v>
      </c>
      <c r="T29" s="27">
        <f t="shared" si="32"/>
        <v>14.021115935562865</v>
      </c>
      <c r="U29" s="27">
        <f>IF($S$13&gt;R29,$G29-$G28,$G29)*T29</f>
        <v>0.14021115935562839</v>
      </c>
      <c r="V29" s="71">
        <f t="shared" si="33"/>
        <v>0</v>
      </c>
      <c r="W29" s="72">
        <f t="shared" si="46"/>
        <v>12</v>
      </c>
      <c r="X29" s="69">
        <f>IF($B$5&lt;$F30,MIN(W29,62-$B$5),0)</f>
        <v>12</v>
      </c>
      <c r="Y29" s="27">
        <f t="shared" si="34"/>
        <v>12.860361417839883</v>
      </c>
      <c r="Z29" s="27">
        <f>IF($X$13&gt;W29,$G29-$G28,$G29)*Y29</f>
        <v>0.12860361417839858</v>
      </c>
      <c r="AA29" s="71">
        <f t="shared" si="35"/>
        <v>0</v>
      </c>
      <c r="AB29" s="72">
        <f t="shared" si="47"/>
        <v>11</v>
      </c>
      <c r="AC29" s="69">
        <f>IF($B$5&lt;$F30,MIN(AB29,61-$B$5),0)</f>
        <v>11</v>
      </c>
      <c r="AD29" s="27">
        <f t="shared" si="36"/>
        <v>11.713937202804807</v>
      </c>
      <c r="AE29" s="27">
        <f>IF($AC$13&gt;AB29,$G29-$G28,$G29)*AD29</f>
        <v>0.11713937202804785</v>
      </c>
      <c r="AF29" s="71">
        <f t="shared" si="37"/>
        <v>0</v>
      </c>
      <c r="AG29" s="72">
        <f t="shared" si="48"/>
        <v>10</v>
      </c>
      <c r="AH29" s="69">
        <f>IF($B$5&lt;$F30,MIN(AG29,60-$B$5),0)</f>
        <v>10</v>
      </c>
      <c r="AI29" s="27">
        <f t="shared" si="38"/>
        <v>10.581666373140575</v>
      </c>
      <c r="AJ29" s="27">
        <f>IF($AH$13&gt;AG29,$G29-$G28,$G29)*AI29</f>
        <v>0.10581666373140555</v>
      </c>
      <c r="AK29" s="71">
        <f t="shared" si="39"/>
        <v>0</v>
      </c>
      <c r="AL29" s="72">
        <f t="shared" si="49"/>
        <v>9</v>
      </c>
      <c r="AM29" s="69">
        <f>IF($B$5&lt;$F30,MIN(AL29,59-$B$5),0)</f>
        <v>9</v>
      </c>
      <c r="AN29" s="27">
        <f t="shared" si="40"/>
        <v>9.4633741956943851</v>
      </c>
      <c r="AO29" s="27">
        <f>IF($AM$13&gt;AL29,$G29-$G28,$G29)*AN29</f>
        <v>9.4633741956943671E-2</v>
      </c>
      <c r="AP29" s="71">
        <f t="shared" si="41"/>
        <v>0</v>
      </c>
      <c r="AQ29" s="72">
        <f t="shared" si="50"/>
        <v>8</v>
      </c>
      <c r="AR29" s="69">
        <f>IF($B$5&lt;$F30,MIN(AQ29,58-$B$5),0)</f>
        <v>8</v>
      </c>
      <c r="AS29" s="27">
        <f t="shared" si="42"/>
        <v>8.3588880945129773</v>
      </c>
      <c r="AT29" s="27">
        <f>IF($AR$13&gt;AQ29,$G29-$G28,$G29)*AS29</f>
        <v>8.3588880945129618E-2</v>
      </c>
      <c r="AU29" s="71">
        <f t="shared" si="43"/>
        <v>0</v>
      </c>
    </row>
    <row r="30" spans="1:47" x14ac:dyDescent="0.2">
      <c r="A30" s="104" t="s">
        <v>54</v>
      </c>
      <c r="B30" s="107">
        <f>Eingabe_Ausgabe!C29</f>
        <v>0</v>
      </c>
      <c r="C30" s="108"/>
      <c r="D30" s="108"/>
      <c r="E30" s="59"/>
      <c r="F30" s="75">
        <v>55</v>
      </c>
      <c r="G30" s="70">
        <v>0.27500000000000002</v>
      </c>
      <c r="H30" s="69">
        <v>10</v>
      </c>
      <c r="I30" s="77">
        <f>MAX(0,MIN(H30,65-$B$5))</f>
        <v>10</v>
      </c>
      <c r="J30" s="27">
        <f t="shared" si="28"/>
        <v>10.581666373140575</v>
      </c>
      <c r="K30" s="27">
        <f t="shared" si="51"/>
        <v>0.42326665492562338</v>
      </c>
      <c r="L30" s="71">
        <f t="shared" si="29"/>
        <v>0</v>
      </c>
      <c r="M30" s="72">
        <f t="shared" si="44"/>
        <v>9</v>
      </c>
      <c r="N30" s="77">
        <f>MAX(0,MIN(M30,64-$B$5))</f>
        <v>9</v>
      </c>
      <c r="O30" s="27">
        <f t="shared" si="30"/>
        <v>9.4633741956943851</v>
      </c>
      <c r="P30" s="27">
        <f>IF($N$13&gt;M30,$G30-$G29,$G30)*O30</f>
        <v>0.37853496782777574</v>
      </c>
      <c r="Q30" s="71">
        <f t="shared" si="31"/>
        <v>0</v>
      </c>
      <c r="R30" s="72">
        <f t="shared" si="45"/>
        <v>8</v>
      </c>
      <c r="S30" s="77">
        <f>MAX(0,MIN(R30,63-$B$5))</f>
        <v>8</v>
      </c>
      <c r="T30" s="27">
        <f t="shared" si="32"/>
        <v>8.3588880945129773</v>
      </c>
      <c r="U30" s="27">
        <f>IF($S$13&gt;R30,$G30-$G29,$G30)*T30</f>
        <v>0.33435552378051941</v>
      </c>
      <c r="V30" s="71">
        <f t="shared" si="33"/>
        <v>0</v>
      </c>
      <c r="W30" s="72">
        <f t="shared" si="46"/>
        <v>7</v>
      </c>
      <c r="X30" s="77">
        <f>MAX(0,MIN(W30,62-$B$5))</f>
        <v>7</v>
      </c>
      <c r="Y30" s="27">
        <f t="shared" si="34"/>
        <v>7.2680376242103328</v>
      </c>
      <c r="Z30" s="27">
        <f>IF($X$13&gt;W30,$G30-$G29,$G30)*Y30</f>
        <v>0.29072150496841359</v>
      </c>
      <c r="AA30" s="71">
        <f t="shared" si="35"/>
        <v>0</v>
      </c>
      <c r="AB30" s="72">
        <f t="shared" si="47"/>
        <v>6</v>
      </c>
      <c r="AC30" s="77">
        <f>MAX(0,MIN(AB30,61-$B$5))</f>
        <v>6</v>
      </c>
      <c r="AD30" s="27">
        <f t="shared" si="36"/>
        <v>6.1906544436645383</v>
      </c>
      <c r="AE30" s="27">
        <f>IF($AC$13&gt;AB30,$G30-$G29,$G30)*AD30</f>
        <v>0.24762617774658174</v>
      </c>
      <c r="AF30" s="71">
        <f t="shared" si="37"/>
        <v>0</v>
      </c>
      <c r="AG30" s="72">
        <f t="shared" si="48"/>
        <v>5</v>
      </c>
      <c r="AH30" s="77">
        <f>MAX(0,MIN(AG30,60-$B$5))</f>
        <v>5</v>
      </c>
      <c r="AI30" s="27">
        <f t="shared" si="38"/>
        <v>5.1265722900390465</v>
      </c>
      <c r="AJ30" s="27">
        <f>IF($AH$13&gt;AG30,$G30-$G29,$G30)*AI30</f>
        <v>0.20506289160156205</v>
      </c>
      <c r="AK30" s="71">
        <f t="shared" si="39"/>
        <v>0</v>
      </c>
      <c r="AL30" s="72">
        <f t="shared" si="49"/>
        <v>4</v>
      </c>
      <c r="AM30" s="77">
        <f>MAX(0,MIN(AL30,59-$B$5))</f>
        <v>4</v>
      </c>
      <c r="AN30" s="27">
        <f t="shared" si="40"/>
        <v>4.0756269531249956</v>
      </c>
      <c r="AO30" s="27">
        <f>IF($AM$13&gt;AL30,$G30-$G29,$G30)*AN30</f>
        <v>0.16302507812499997</v>
      </c>
      <c r="AP30" s="71">
        <f t="shared" si="41"/>
        <v>0</v>
      </c>
      <c r="AQ30" s="72">
        <f t="shared" si="50"/>
        <v>3</v>
      </c>
      <c r="AR30" s="77">
        <f>MAX(0,MIN(AQ30,58-$B$5))</f>
        <v>3</v>
      </c>
      <c r="AS30" s="27">
        <f t="shared" si="42"/>
        <v>3.0376562499999871</v>
      </c>
      <c r="AT30" s="27">
        <f>IF($AR$13&gt;AQ30,$G30-$G29,$G30)*AS30</f>
        <v>0.12150624999999959</v>
      </c>
      <c r="AU30" s="71">
        <f t="shared" si="43"/>
        <v>0</v>
      </c>
    </row>
    <row r="31" spans="1:47" x14ac:dyDescent="0.2">
      <c r="A31" s="109" t="s">
        <v>55</v>
      </c>
      <c r="B31" s="107">
        <f>Eingabe_Ausgabe!C30</f>
        <v>0</v>
      </c>
      <c r="E31" s="59"/>
      <c r="F31" s="79"/>
      <c r="G31" s="80"/>
      <c r="I31" s="69">
        <f>MONTH($B$4)</f>
        <v>1</v>
      </c>
      <c r="J31" s="27">
        <f>I31*$B$14/12+1</f>
        <v>1.0010416666666666</v>
      </c>
      <c r="K31" s="27">
        <f>$I$12/12*$G$30*$B$13</f>
        <v>0</v>
      </c>
      <c r="L31" s="81">
        <f>SUM(L25:L30)*J31+K31</f>
        <v>0</v>
      </c>
      <c r="M31" s="82"/>
      <c r="N31" s="69" t="str">
        <f>$C$5</f>
        <v>01</v>
      </c>
      <c r="O31" s="27">
        <f>N31*$B$14/12+1</f>
        <v>1.0010416666666666</v>
      </c>
      <c r="P31" s="27">
        <f>$I$12/12*$G$30*$B$13</f>
        <v>0</v>
      </c>
      <c r="Q31" s="81">
        <f>SUM(Q25:Q30)*O31+P31</f>
        <v>0</v>
      </c>
      <c r="R31" s="82"/>
      <c r="S31" s="69" t="str">
        <f>$C$5</f>
        <v>01</v>
      </c>
      <c r="T31" s="27">
        <f>S31*$B$14/12+1</f>
        <v>1.0010416666666666</v>
      </c>
      <c r="U31" s="27">
        <f>$I$12/12*$G$30*$B$13</f>
        <v>0</v>
      </c>
      <c r="V31" s="81">
        <f>SUM(V25:V30)*T31+U31</f>
        <v>0</v>
      </c>
      <c r="W31" s="82"/>
      <c r="X31" s="69" t="str">
        <f>$C$5</f>
        <v>01</v>
      </c>
      <c r="Y31" s="27">
        <f>X31*$B$14/12+1</f>
        <v>1.0010416666666666</v>
      </c>
      <c r="Z31" s="27">
        <f>$I$12/12*$G$30*$B$13</f>
        <v>0</v>
      </c>
      <c r="AA31" s="81">
        <f>SUM(AA25:AA30)*Y31+Z31</f>
        <v>0</v>
      </c>
      <c r="AB31" s="82"/>
      <c r="AC31" s="69" t="str">
        <f>$C$5</f>
        <v>01</v>
      </c>
      <c r="AD31" s="27">
        <f>AC31*$B$14/12+1</f>
        <v>1.0010416666666666</v>
      </c>
      <c r="AE31" s="27">
        <f>$I$12/12*$G$30*$B$13</f>
        <v>0</v>
      </c>
      <c r="AF31" s="71">
        <f>SUM(AF25:AF30)*AD31+AE31</f>
        <v>0</v>
      </c>
      <c r="AG31" s="82"/>
      <c r="AH31" s="69" t="str">
        <f>$C$5</f>
        <v>01</v>
      </c>
      <c r="AI31" s="27">
        <f>AH31*$B$14/12+1</f>
        <v>1.0010416666666666</v>
      </c>
      <c r="AJ31" s="27">
        <f>$I$12/12*$G$30*$B$13</f>
        <v>0</v>
      </c>
      <c r="AK31" s="81">
        <f>SUM(AK25:AK30)*AI31+AJ31</f>
        <v>0</v>
      </c>
      <c r="AL31" s="82"/>
      <c r="AM31" s="69" t="str">
        <f>$C$5</f>
        <v>01</v>
      </c>
      <c r="AN31" s="27">
        <f>AM31*$B$14/12+1</f>
        <v>1.0010416666666666</v>
      </c>
      <c r="AO31" s="27">
        <f>$I$12/12*$G$30*$B$13</f>
        <v>0</v>
      </c>
      <c r="AP31" s="81">
        <f>SUM(AP25:AP30)*AN31+AO31</f>
        <v>0</v>
      </c>
      <c r="AQ31" s="82"/>
      <c r="AR31" s="69" t="str">
        <f>$C$5</f>
        <v>01</v>
      </c>
      <c r="AS31" s="27">
        <f>AR31*$B$14/12+1</f>
        <v>1.0010416666666666</v>
      </c>
      <c r="AT31" s="27">
        <f>$I$12/12*$G$30*$B$13</f>
        <v>0</v>
      </c>
      <c r="AU31" s="81">
        <f>SUM(AU25:AU30)*AS31+AT31</f>
        <v>0</v>
      </c>
    </row>
    <row r="32" spans="1:47" x14ac:dyDescent="0.2">
      <c r="A32" s="104" t="s">
        <v>14</v>
      </c>
      <c r="B32" s="106">
        <f>Eingabe_Ausgabe!$C$31</f>
        <v>0</v>
      </c>
      <c r="E32" s="59"/>
      <c r="F32" s="84"/>
      <c r="G32" s="85"/>
      <c r="H32" s="86"/>
      <c r="I32" s="87">
        <f>MAX(0,65-$B$5)</f>
        <v>64</v>
      </c>
      <c r="J32" s="60">
        <f>POWER((1+$B$14),I32)*($B$14/12*$I$12+1)</f>
        <v>2.2168392152050842</v>
      </c>
      <c r="K32" s="60"/>
      <c r="L32" s="113" t="e">
        <f>J32*($B$21+$B$35)</f>
        <v>#N/A</v>
      </c>
      <c r="M32" s="89"/>
      <c r="N32" s="87">
        <f>MAX(0,64-$B$5)</f>
        <v>63</v>
      </c>
      <c r="O32" s="60">
        <f>POWER((1+$B$14),N32)*($B$14/12*$I$12+1)</f>
        <v>2.1894708298321817</v>
      </c>
      <c r="P32" s="60"/>
      <c r="Q32" s="113" t="e">
        <f>IF($B$18=64,O32*($B$17+$B$35),O32*($B$21+$B$35))</f>
        <v>#N/A</v>
      </c>
      <c r="R32" s="89"/>
      <c r="S32" s="87">
        <f>MAX(0,63-$B$5)</f>
        <v>62</v>
      </c>
      <c r="T32" s="60">
        <f>POWER((1+$B$14),S32)*($B$14/12*$I$12+1)</f>
        <v>2.1624403257601799</v>
      </c>
      <c r="U32" s="60"/>
      <c r="V32" s="113" t="e">
        <f>IF($B$18=63,T32*($B$17+$B$35),T32*($B$21+$B$35))</f>
        <v>#N/A</v>
      </c>
      <c r="W32" s="89"/>
      <c r="X32" s="87">
        <f>MAX(0,62-$B$5)</f>
        <v>61</v>
      </c>
      <c r="Y32" s="60">
        <f>POWER((1+$B$14),X32)*($B$14/12*$I$12+1)</f>
        <v>2.1357435316149918</v>
      </c>
      <c r="Z32" s="60"/>
      <c r="AA32" s="113" t="e">
        <f>IF($B$18=62,Y32*($B$17+$B$35),Y32*($B$21+$B$35))</f>
        <v>#N/A</v>
      </c>
      <c r="AB32" s="89"/>
      <c r="AC32" s="87">
        <f>MAX(0,61-$B$5)</f>
        <v>60</v>
      </c>
      <c r="AD32" s="60">
        <f>POWER((1+$B$14),AC32)*($B$14/12*$I$12+1)</f>
        <v>2.1093763275209798</v>
      </c>
      <c r="AE32" s="60"/>
      <c r="AF32" s="113" t="e">
        <f>IF($B$18=61,AD32*($B$17+$B$35),AD32*($B$21+$B$35))</f>
        <v>#N/A</v>
      </c>
      <c r="AG32" s="89"/>
      <c r="AH32" s="87">
        <f>MAX(0,60-$B$5)</f>
        <v>59</v>
      </c>
      <c r="AI32" s="60">
        <f>POWER((1+$B$14),AH32)*($B$14/12*$I$12+1)</f>
        <v>2.083334644465165</v>
      </c>
      <c r="AJ32" s="60"/>
      <c r="AK32" s="113" t="e">
        <f>IF($B$18=60,AI32*($B$17+$B$35),AI32*($B$21+$B$35))</f>
        <v>#N/A</v>
      </c>
      <c r="AL32" s="89"/>
      <c r="AM32" s="87">
        <f>MAX(0,59-$B$5)</f>
        <v>58</v>
      </c>
      <c r="AN32" s="60">
        <f>POWER((1+$B$14),AM32)*($B$14/12*$I$12+1)</f>
        <v>2.0576144636692995</v>
      </c>
      <c r="AO32" s="60"/>
      <c r="AP32" s="113" t="e">
        <f>IF($B$18=59,AN32*($B$17+$B$35),AN32*($B$21+$B$35))</f>
        <v>#N/A</v>
      </c>
      <c r="AQ32" s="89"/>
      <c r="AR32" s="87">
        <f>MAX(0,58-$B$5)</f>
        <v>57</v>
      </c>
      <c r="AS32" s="60">
        <f>POWER((1+$B$14),AR32)*($B$14/12*$I$12+1)</f>
        <v>2.0322118159696778</v>
      </c>
      <c r="AT32" s="60"/>
      <c r="AU32" s="113" t="e">
        <f>IF($B$18=58,AS32*($B$17+$B$35),AS32*($B$21+$B$35))</f>
        <v>#N/A</v>
      </c>
    </row>
    <row r="33" spans="1:47" x14ac:dyDescent="0.2">
      <c r="A33" s="104" t="s">
        <v>56</v>
      </c>
      <c r="B33" s="110">
        <f>IF(MONTH($B$32)=1,0,13-MONTH($B$32))</f>
        <v>0</v>
      </c>
      <c r="E33" s="59"/>
      <c r="F33" s="90" t="s">
        <v>93</v>
      </c>
      <c r="H33" s="57" t="s">
        <v>1</v>
      </c>
      <c r="I33" s="91" t="s">
        <v>2</v>
      </c>
      <c r="L33" s="92" t="e">
        <f>(L31+L32)*L36</f>
        <v>#N/A</v>
      </c>
      <c r="M33" s="82"/>
      <c r="Q33" s="92" t="e">
        <f>(Q31+Q32)*Q36</f>
        <v>#N/A</v>
      </c>
      <c r="R33" s="82"/>
      <c r="V33" s="92" t="e">
        <f>(V31+V32)*V36</f>
        <v>#N/A</v>
      </c>
      <c r="W33" s="82"/>
      <c r="AA33" s="92" t="e">
        <f>(AA31+AA32)*AA36</f>
        <v>#N/A</v>
      </c>
      <c r="AB33" s="82"/>
      <c r="AF33" s="92" t="e">
        <f>(AF31+AF32)*AF36</f>
        <v>#N/A</v>
      </c>
      <c r="AG33" s="82"/>
      <c r="AK33" s="92" t="e">
        <f>(AK31+AK32)*AK36</f>
        <v>#N/A</v>
      </c>
      <c r="AL33" s="82"/>
      <c r="AP33" s="92" t="e">
        <f>(AP31+AP32)*AP36</f>
        <v>#N/A</v>
      </c>
      <c r="AQ33" s="82"/>
      <c r="AU33" s="92" t="e">
        <f>(AU31+AU32)*AU36</f>
        <v>#N/A</v>
      </c>
    </row>
    <row r="34" spans="1:47" x14ac:dyDescent="0.2">
      <c r="A34" s="104" t="s">
        <v>0</v>
      </c>
      <c r="B34" s="157">
        <v>1.2500000000000001E-2</v>
      </c>
      <c r="E34" s="59"/>
      <c r="F34" s="79" t="s">
        <v>4</v>
      </c>
      <c r="G34" s="79"/>
      <c r="L34" s="93" t="e">
        <f>IF($C$7=1,VLOOKUP(YEAR($B$4),Reglement!$M$4:$U$17,9),VLOOKUP(YEAR($B$4),Reglement!$M$23:$U$37,9))</f>
        <v>#N/A</v>
      </c>
      <c r="M34" s="93"/>
      <c r="N34" s="93"/>
      <c r="O34" s="93"/>
      <c r="P34" s="93"/>
      <c r="Q34" s="93" t="e">
        <f>IF($C$7=1,VLOOKUP(YEAR($B$4),Reglement!$M$4:$U$17,8),VLOOKUP(YEAR($B$4),Reglement!$M$23:$U$37,8))</f>
        <v>#N/A</v>
      </c>
      <c r="R34" s="93"/>
      <c r="S34" s="93"/>
      <c r="T34" s="93"/>
      <c r="U34" s="93"/>
      <c r="V34" s="93" t="e">
        <f>IF($C$7=1,VLOOKUP(YEAR($B$4),Reglement!$M$4:$U$17,7),VLOOKUP(YEAR($B$4),Reglement!$M$23:$U$37,7))</f>
        <v>#N/A</v>
      </c>
      <c r="W34" s="93"/>
      <c r="X34" s="93"/>
      <c r="Y34" s="93"/>
      <c r="Z34" s="93"/>
      <c r="AA34" s="93" t="e">
        <f>IF($C$7=1,VLOOKUP(YEAR($B$4),Reglement!$M$4:$U$17,6),VLOOKUP(YEAR($B$4),Reglement!$M$23:$U$37,6))</f>
        <v>#N/A</v>
      </c>
      <c r="AB34" s="93"/>
      <c r="AC34" s="93"/>
      <c r="AD34" s="93"/>
      <c r="AE34" s="93"/>
      <c r="AF34" s="93" t="e">
        <f>IF($C$7=1,VLOOKUP(YEAR($B$4),Reglement!$M$4:$U$17,5),VLOOKUP(YEAR($B$4),Reglement!$M$23:$U$37,5))</f>
        <v>#N/A</v>
      </c>
      <c r="AG34" s="93"/>
      <c r="AH34" s="93"/>
      <c r="AI34" s="93"/>
      <c r="AJ34" s="93"/>
      <c r="AK34" s="93" t="e">
        <f>IF($C$7=1,VLOOKUP(YEAR($B$4),Reglement!$M$4:$U$17,4),VLOOKUP(YEAR($B$4),Reglement!$M$23:$U$37,4))</f>
        <v>#N/A</v>
      </c>
      <c r="AL34" s="93"/>
      <c r="AM34" s="93"/>
      <c r="AN34" s="93"/>
      <c r="AO34" s="93"/>
      <c r="AP34" s="93" t="e">
        <f>IF($C$7=1,VLOOKUP(YEAR($B$4),Reglement!$M$4:$U$17,3),VLOOKUP(YEAR($B$4),Reglement!$M$23:$U$37,3))</f>
        <v>#N/A</v>
      </c>
      <c r="AQ34" s="93"/>
      <c r="AR34" s="93"/>
      <c r="AS34" s="93"/>
      <c r="AT34" s="93"/>
      <c r="AU34" s="93" t="e">
        <f>IF($C$7=1,VLOOKUP(YEAR($B$4),Reglement!$M$4:$U$17,2),VLOOKUP(YEAR($B$4),Reglement!$M$23:$U$37,2))</f>
        <v>#N/A</v>
      </c>
    </row>
    <row r="35" spans="1:47" x14ac:dyDescent="0.2">
      <c r="A35" s="104" t="s">
        <v>57</v>
      </c>
      <c r="B35" s="111">
        <f>ROUND((1+($B$34/12*$B$33))*($B$30+$B$31)*20,)/20</f>
        <v>0</v>
      </c>
      <c r="E35" s="59"/>
      <c r="F35" s="79" t="s">
        <v>16</v>
      </c>
      <c r="G35" s="79"/>
      <c r="L35" s="79" t="e">
        <f>L33*L34</f>
        <v>#N/A</v>
      </c>
      <c r="M35" s="79"/>
      <c r="N35" s="79"/>
      <c r="O35" s="79"/>
      <c r="P35" s="79"/>
      <c r="Q35" s="79" t="e">
        <f t="shared" ref="Q35" si="52">Q33*Q34</f>
        <v>#N/A</v>
      </c>
      <c r="R35" s="79"/>
      <c r="S35" s="79"/>
      <c r="T35" s="79"/>
      <c r="U35" s="79"/>
      <c r="V35" s="79" t="e">
        <f t="shared" ref="V35" si="53">V33*V34</f>
        <v>#N/A</v>
      </c>
      <c r="W35" s="79"/>
      <c r="X35" s="79"/>
      <c r="Y35" s="79"/>
      <c r="Z35" s="79"/>
      <c r="AA35" s="79" t="e">
        <f t="shared" ref="AA35" si="54">AA33*AA34</f>
        <v>#N/A</v>
      </c>
      <c r="AB35" s="79"/>
      <c r="AC35" s="79"/>
      <c r="AD35" s="79"/>
      <c r="AE35" s="79"/>
      <c r="AF35" s="79" t="e">
        <f t="shared" ref="AF35" si="55">AF33*AF34</f>
        <v>#N/A</v>
      </c>
      <c r="AG35" s="79"/>
      <c r="AH35" s="79"/>
      <c r="AI35" s="79"/>
      <c r="AJ35" s="79"/>
      <c r="AK35" s="79" t="e">
        <f t="shared" ref="AK35" si="56">AK33*AK34</f>
        <v>#N/A</v>
      </c>
      <c r="AL35" s="79"/>
      <c r="AM35" s="79"/>
      <c r="AN35" s="79"/>
      <c r="AO35" s="79"/>
      <c r="AP35" s="79" t="e">
        <f t="shared" ref="AP35" si="57">AP33*AP34</f>
        <v>#N/A</v>
      </c>
      <c r="AQ35" s="79"/>
      <c r="AR35" s="79"/>
      <c r="AS35" s="79"/>
      <c r="AT35" s="79"/>
      <c r="AU35" s="79" t="e">
        <f t="shared" ref="AU35" si="58">AU33*AU34</f>
        <v>#N/A</v>
      </c>
    </row>
    <row r="36" spans="1:47" x14ac:dyDescent="0.2">
      <c r="B36" s="56"/>
      <c r="E36" s="59"/>
      <c r="F36" s="69"/>
      <c r="G36" s="100"/>
      <c r="H36" s="69"/>
      <c r="I36" s="69"/>
      <c r="L36" s="95">
        <f>IF($B$18&gt;65,0,1)</f>
        <v>1</v>
      </c>
      <c r="M36" s="56"/>
      <c r="Q36" s="95">
        <f>IF($B$18&gt;64,0,1)</f>
        <v>1</v>
      </c>
      <c r="R36" s="56"/>
      <c r="V36" s="95">
        <f>IF($B$18&gt;63,0,1)</f>
        <v>1</v>
      </c>
      <c r="W36" s="56"/>
      <c r="AA36" s="95">
        <f>IF($B$18&gt;62,0,1)</f>
        <v>1</v>
      </c>
      <c r="AB36" s="56"/>
      <c r="AF36" s="95">
        <f>IF($B$18&gt;61,0,1)</f>
        <v>1</v>
      </c>
      <c r="AG36" s="56"/>
      <c r="AK36" s="95">
        <f>IF($B$18&gt;60,0,1)</f>
        <v>1</v>
      </c>
      <c r="AL36" s="56"/>
      <c r="AP36" s="95">
        <f>IF($B$18&gt;59,0,1)</f>
        <v>1</v>
      </c>
      <c r="AQ36" s="56"/>
      <c r="AU36" s="95">
        <f>IF($B$18&gt;58,0,1)</f>
        <v>1</v>
      </c>
    </row>
    <row r="37" spans="1:47" x14ac:dyDescent="0.2">
      <c r="B37" s="56"/>
      <c r="E37" s="59"/>
      <c r="F37" s="69"/>
      <c r="G37" s="100"/>
      <c r="H37" s="69"/>
      <c r="I37" s="69"/>
    </row>
    <row r="38" spans="1:47" x14ac:dyDescent="0.2">
      <c r="B38" s="56"/>
      <c r="E38" s="59"/>
      <c r="F38" s="69"/>
      <c r="G38" s="100"/>
      <c r="H38" s="69"/>
      <c r="I38" s="69"/>
    </row>
    <row r="39" spans="1:47" x14ac:dyDescent="0.2">
      <c r="B39" s="56"/>
      <c r="C39" s="56"/>
      <c r="D39" s="56"/>
      <c r="E39" s="59"/>
      <c r="F39" s="69"/>
      <c r="G39" s="100"/>
      <c r="H39" s="69"/>
      <c r="I39" s="69"/>
    </row>
    <row r="40" spans="1:47" x14ac:dyDescent="0.2">
      <c r="A40" s="76"/>
      <c r="B40" s="102"/>
      <c r="E40" s="59"/>
      <c r="F40" s="112" t="s">
        <v>11</v>
      </c>
      <c r="G40" s="100"/>
      <c r="H40" s="69"/>
      <c r="I40" s="6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</row>
    <row r="41" spans="1:47" x14ac:dyDescent="0.2">
      <c r="B41" s="102"/>
      <c r="E41" s="59"/>
      <c r="F41" s="60"/>
      <c r="G41" s="61"/>
      <c r="H41" s="163" t="s">
        <v>32</v>
      </c>
      <c r="I41" s="163"/>
      <c r="J41" s="163"/>
      <c r="K41" s="163"/>
      <c r="L41" s="164"/>
      <c r="M41" s="162" t="s">
        <v>33</v>
      </c>
      <c r="N41" s="163"/>
      <c r="O41" s="163"/>
      <c r="P41" s="163"/>
      <c r="Q41" s="164"/>
      <c r="R41" s="162" t="s">
        <v>34</v>
      </c>
      <c r="S41" s="163"/>
      <c r="T41" s="163"/>
      <c r="U41" s="163"/>
      <c r="V41" s="164"/>
      <c r="W41" s="162" t="s">
        <v>35</v>
      </c>
      <c r="X41" s="163"/>
      <c r="Y41" s="163"/>
      <c r="Z41" s="163"/>
      <c r="AA41" s="164"/>
      <c r="AB41" s="162" t="s">
        <v>36</v>
      </c>
      <c r="AC41" s="163"/>
      <c r="AD41" s="163"/>
      <c r="AE41" s="163"/>
      <c r="AF41" s="164"/>
      <c r="AG41" s="162" t="s">
        <v>37</v>
      </c>
      <c r="AH41" s="163"/>
      <c r="AI41" s="163"/>
      <c r="AJ41" s="163"/>
      <c r="AK41" s="164"/>
      <c r="AL41" s="162" t="s">
        <v>91</v>
      </c>
      <c r="AM41" s="163"/>
      <c r="AN41" s="163"/>
      <c r="AO41" s="163"/>
      <c r="AP41" s="164"/>
      <c r="AQ41" s="162" t="s">
        <v>92</v>
      </c>
      <c r="AR41" s="163"/>
      <c r="AS41" s="163"/>
      <c r="AT41" s="163"/>
      <c r="AU41" s="164"/>
    </row>
    <row r="42" spans="1:47" ht="12.75" customHeight="1" x14ac:dyDescent="0.2">
      <c r="A42" s="27"/>
      <c r="B42" s="102"/>
      <c r="E42" s="65"/>
      <c r="F42" s="167" t="s">
        <v>3</v>
      </c>
      <c r="G42" s="172" t="s">
        <v>39</v>
      </c>
      <c r="H42" s="167" t="s">
        <v>12</v>
      </c>
      <c r="I42" s="167" t="s">
        <v>13</v>
      </c>
      <c r="J42" s="168" t="s">
        <v>7</v>
      </c>
      <c r="K42" s="168" t="s">
        <v>2</v>
      </c>
      <c r="L42" s="170" t="s">
        <v>1</v>
      </c>
      <c r="M42" s="165" t="s">
        <v>12</v>
      </c>
      <c r="N42" s="167" t="s">
        <v>13</v>
      </c>
      <c r="O42" s="168" t="s">
        <v>7</v>
      </c>
      <c r="P42" s="168" t="s">
        <v>2</v>
      </c>
      <c r="Q42" s="170" t="s">
        <v>1</v>
      </c>
      <c r="R42" s="165" t="s">
        <v>12</v>
      </c>
      <c r="S42" s="167" t="s">
        <v>13</v>
      </c>
      <c r="T42" s="168" t="s">
        <v>7</v>
      </c>
      <c r="U42" s="168" t="s">
        <v>2</v>
      </c>
      <c r="V42" s="170" t="s">
        <v>1</v>
      </c>
      <c r="W42" s="165" t="s">
        <v>12</v>
      </c>
      <c r="X42" s="167" t="s">
        <v>13</v>
      </c>
      <c r="Y42" s="168" t="s">
        <v>7</v>
      </c>
      <c r="Z42" s="168" t="s">
        <v>2</v>
      </c>
      <c r="AA42" s="170" t="s">
        <v>1</v>
      </c>
      <c r="AB42" s="165" t="s">
        <v>12</v>
      </c>
      <c r="AC42" s="167" t="s">
        <v>13</v>
      </c>
      <c r="AD42" s="168" t="s">
        <v>7</v>
      </c>
      <c r="AE42" s="168" t="s">
        <v>2</v>
      </c>
      <c r="AF42" s="170" t="s">
        <v>1</v>
      </c>
      <c r="AG42" s="165" t="s">
        <v>12</v>
      </c>
      <c r="AH42" s="167" t="s">
        <v>13</v>
      </c>
      <c r="AI42" s="168" t="s">
        <v>7</v>
      </c>
      <c r="AJ42" s="168" t="s">
        <v>2</v>
      </c>
      <c r="AK42" s="170" t="s">
        <v>1</v>
      </c>
      <c r="AL42" s="165" t="s">
        <v>12</v>
      </c>
      <c r="AM42" s="167" t="s">
        <v>13</v>
      </c>
      <c r="AN42" s="168" t="s">
        <v>7</v>
      </c>
      <c r="AO42" s="168" t="s">
        <v>2</v>
      </c>
      <c r="AP42" s="170" t="s">
        <v>1</v>
      </c>
      <c r="AQ42" s="165" t="s">
        <v>12</v>
      </c>
      <c r="AR42" s="167" t="s">
        <v>13</v>
      </c>
      <c r="AS42" s="168" t="s">
        <v>7</v>
      </c>
      <c r="AT42" s="168" t="s">
        <v>2</v>
      </c>
      <c r="AU42" s="170" t="s">
        <v>1</v>
      </c>
    </row>
    <row r="43" spans="1:47" ht="12.75" customHeight="1" x14ac:dyDescent="0.2">
      <c r="A43" s="76"/>
      <c r="B43" s="102"/>
      <c r="E43" s="68"/>
      <c r="F43" s="161"/>
      <c r="G43" s="173" t="s">
        <v>8</v>
      </c>
      <c r="H43" s="161" t="s">
        <v>12</v>
      </c>
      <c r="I43" s="161" t="s">
        <v>12</v>
      </c>
      <c r="J43" s="169" t="s">
        <v>7</v>
      </c>
      <c r="K43" s="169" t="s">
        <v>7</v>
      </c>
      <c r="L43" s="171" t="s">
        <v>1</v>
      </c>
      <c r="M43" s="165" t="s">
        <v>12</v>
      </c>
      <c r="N43" s="161" t="s">
        <v>12</v>
      </c>
      <c r="O43" s="169" t="s">
        <v>7</v>
      </c>
      <c r="P43" s="169" t="s">
        <v>7</v>
      </c>
      <c r="Q43" s="171" t="s">
        <v>1</v>
      </c>
      <c r="R43" s="166" t="s">
        <v>12</v>
      </c>
      <c r="S43" s="161" t="s">
        <v>12</v>
      </c>
      <c r="T43" s="169" t="s">
        <v>7</v>
      </c>
      <c r="U43" s="169" t="s">
        <v>7</v>
      </c>
      <c r="V43" s="171" t="s">
        <v>1</v>
      </c>
      <c r="W43" s="166" t="s">
        <v>12</v>
      </c>
      <c r="X43" s="161" t="s">
        <v>12</v>
      </c>
      <c r="Y43" s="169" t="s">
        <v>7</v>
      </c>
      <c r="Z43" s="169" t="s">
        <v>7</v>
      </c>
      <c r="AA43" s="171" t="s">
        <v>1</v>
      </c>
      <c r="AB43" s="166" t="s">
        <v>12</v>
      </c>
      <c r="AC43" s="161" t="s">
        <v>12</v>
      </c>
      <c r="AD43" s="169" t="s">
        <v>7</v>
      </c>
      <c r="AE43" s="169" t="s">
        <v>7</v>
      </c>
      <c r="AF43" s="171" t="s">
        <v>1</v>
      </c>
      <c r="AG43" s="166" t="s">
        <v>12</v>
      </c>
      <c r="AH43" s="161" t="s">
        <v>12</v>
      </c>
      <c r="AI43" s="169" t="s">
        <v>7</v>
      </c>
      <c r="AJ43" s="169" t="s">
        <v>7</v>
      </c>
      <c r="AK43" s="171" t="s">
        <v>1</v>
      </c>
      <c r="AL43" s="166" t="s">
        <v>12</v>
      </c>
      <c r="AM43" s="161" t="s">
        <v>12</v>
      </c>
      <c r="AN43" s="169" t="s">
        <v>7</v>
      </c>
      <c r="AO43" s="169" t="s">
        <v>7</v>
      </c>
      <c r="AP43" s="171" t="s">
        <v>1</v>
      </c>
      <c r="AQ43" s="166" t="s">
        <v>12</v>
      </c>
      <c r="AR43" s="161" t="s">
        <v>12</v>
      </c>
      <c r="AS43" s="169" t="s">
        <v>7</v>
      </c>
      <c r="AT43" s="169" t="s">
        <v>7</v>
      </c>
      <c r="AU43" s="171" t="s">
        <v>1</v>
      </c>
    </row>
    <row r="44" spans="1:47" x14ac:dyDescent="0.2">
      <c r="B44" s="102"/>
      <c r="F44" s="69">
        <v>25</v>
      </c>
      <c r="G44" s="70">
        <v>0.11</v>
      </c>
      <c r="H44" s="69">
        <v>40</v>
      </c>
      <c r="I44" s="69">
        <f>IF($B$5&lt;$F45,MIN(H44,65-$B$5),0)</f>
        <v>40</v>
      </c>
      <c r="J44" s="27">
        <f t="shared" ref="J44:J49" si="59">(POWER((1+$B$14),I44)-1)/$B$14</f>
        <v>51.489557078960978</v>
      </c>
      <c r="K44" s="27">
        <f>$G44*J44</f>
        <v>5.6638512786857076</v>
      </c>
      <c r="L44" s="71">
        <f t="shared" ref="L44:L49" si="60">$B$13*K44</f>
        <v>0</v>
      </c>
      <c r="M44" s="72">
        <f>H44-1</f>
        <v>39</v>
      </c>
      <c r="N44" s="69">
        <f>IF($B$5&lt;$F45,MIN(M44,64-$B$5),0)</f>
        <v>39</v>
      </c>
      <c r="O44" s="27">
        <f t="shared" ref="O44:O49" si="61">(POWER((1+$B$14),N44)-1)/$B$14</f>
        <v>49.866229213788614</v>
      </c>
      <c r="P44" s="27">
        <f>$G44*O44</f>
        <v>5.4852852135167476</v>
      </c>
      <c r="Q44" s="71">
        <f t="shared" ref="Q44:Q49" si="62">$B$13*P44</f>
        <v>0</v>
      </c>
      <c r="R44" s="72">
        <f>M44-1</f>
        <v>38</v>
      </c>
      <c r="S44" s="69">
        <f>IF($B$5&lt;$F45,MIN(R44,63-$B$5),0)</f>
        <v>38</v>
      </c>
      <c r="T44" s="27">
        <f t="shared" ref="T44:T49" si="63">(POWER((1+$B$14),S44)-1)/$B$14</f>
        <v>48.262942433371485</v>
      </c>
      <c r="U44" s="27">
        <f>$G44*T44</f>
        <v>5.3089236676708635</v>
      </c>
      <c r="V44" s="71">
        <f t="shared" ref="V44:V49" si="64">$B$13*U44</f>
        <v>0</v>
      </c>
      <c r="W44" s="72">
        <f>R44-1</f>
        <v>37</v>
      </c>
      <c r="X44" s="69">
        <f>IF($B$5&lt;$F45,MIN(W44,62-$B$5),0)</f>
        <v>37</v>
      </c>
      <c r="Y44" s="27">
        <f t="shared" ref="Y44:Y49" si="65">(POWER((1+$B$14),X44)-1)/$B$14</f>
        <v>46.679449316910109</v>
      </c>
      <c r="Z44" s="27">
        <f>$G44*Y44</f>
        <v>5.1347394248601121</v>
      </c>
      <c r="AA44" s="71">
        <f t="shared" ref="AA44:AA49" si="66">$B$13*Z44</f>
        <v>0</v>
      </c>
      <c r="AB44" s="72">
        <f>W44-1</f>
        <v>36</v>
      </c>
      <c r="AC44" s="69">
        <f>IF($B$5&lt;$F45,MIN(AB44,61-$B$5),0)</f>
        <v>36</v>
      </c>
      <c r="AD44" s="27">
        <f t="shared" ref="AD44:AD49" si="67">(POWER((1+$B$14),AC44)-1)/$B$14</f>
        <v>45.115505498182827</v>
      </c>
      <c r="AE44" s="27">
        <f>$G44*AD44</f>
        <v>4.962705604800111</v>
      </c>
      <c r="AF44" s="71">
        <f t="shared" ref="AF44:AF49" si="68">$B$13*AE44</f>
        <v>0</v>
      </c>
      <c r="AG44" s="72">
        <f>AB44-1</f>
        <v>35</v>
      </c>
      <c r="AH44" s="69">
        <f>IF($B$5&lt;$F45,MIN(AG44,60-$B$5),0)</f>
        <v>35</v>
      </c>
      <c r="AI44" s="27">
        <f t="shared" ref="AI44:AI49" si="69">(POWER((1+$B$14),AH44)-1)/$B$14</f>
        <v>43.570869627834888</v>
      </c>
      <c r="AJ44" s="27">
        <f>$G44*AI44</f>
        <v>4.7927956590618379</v>
      </c>
      <c r="AK44" s="71">
        <f t="shared" ref="AK44:AK49" si="70">$B$13*AJ44</f>
        <v>0</v>
      </c>
      <c r="AL44" s="72">
        <f>AG44-1</f>
        <v>34</v>
      </c>
      <c r="AM44" s="69">
        <f>IF($B$5&lt;$F45,MIN(AL44,59-$B$5),0)</f>
        <v>34</v>
      </c>
      <c r="AN44" s="27">
        <f t="shared" ref="AN44:AN49" si="71">(POWER((1+$B$14),AM44)-1)/$B$14</f>
        <v>42.045303336133237</v>
      </c>
      <c r="AO44" s="27">
        <f>$G44*AN44</f>
        <v>4.6249833669746563</v>
      </c>
      <c r="AP44" s="71">
        <f t="shared" ref="AP44:AP49" si="72">$B$13*AO44</f>
        <v>0</v>
      </c>
      <c r="AQ44" s="72">
        <f>AL44-1</f>
        <v>33</v>
      </c>
      <c r="AR44" s="69">
        <f>IF($B$5&lt;$F45,MIN(AQ44,58-$B$5),0)</f>
        <v>33</v>
      </c>
      <c r="AS44" s="27">
        <f t="shared" ref="AS44:AS49" si="73">(POWER((1+$B$14),AR44)-1)/$B$14</f>
        <v>40.538571196180975</v>
      </c>
      <c r="AT44" s="27">
        <f>$G44*AS44</f>
        <v>4.4592428315799069</v>
      </c>
      <c r="AU44" s="71">
        <f t="shared" ref="AU44:AU49" si="74">$B$13*AT44</f>
        <v>0</v>
      </c>
    </row>
    <row r="45" spans="1:47" x14ac:dyDescent="0.2">
      <c r="B45" s="102"/>
      <c r="E45" s="74"/>
      <c r="F45" s="69">
        <v>35</v>
      </c>
      <c r="G45" s="70">
        <v>0.17</v>
      </c>
      <c r="H45" s="69">
        <v>30</v>
      </c>
      <c r="I45" s="69">
        <f>IF($B$5&lt;$F46,MIN(H45,65-$B$5),0)</f>
        <v>30</v>
      </c>
      <c r="J45" s="27">
        <f t="shared" si="59"/>
        <v>36.12906880057178</v>
      </c>
      <c r="K45" s="27">
        <f>IF($I$13&gt;H45,$G45-$G44,$G45)*J45</f>
        <v>2.167744128034307</v>
      </c>
      <c r="L45" s="71">
        <f t="shared" si="60"/>
        <v>0</v>
      </c>
      <c r="M45" s="72">
        <f t="shared" ref="M45:M49" si="75">H45-1</f>
        <v>29</v>
      </c>
      <c r="N45" s="69">
        <f>IF($B$5&lt;$F46,MIN(M45,64-$B$5),0)</f>
        <v>29</v>
      </c>
      <c r="O45" s="27">
        <f t="shared" si="61"/>
        <v>34.695376593157278</v>
      </c>
      <c r="P45" s="27">
        <f>IF($N$13&gt;M45,$G45-$G44,$G45)*O45</f>
        <v>2.081722595589437</v>
      </c>
      <c r="Q45" s="71">
        <f t="shared" si="62"/>
        <v>0</v>
      </c>
      <c r="R45" s="72">
        <f t="shared" ref="R45:R49" si="76">M45-1</f>
        <v>28</v>
      </c>
      <c r="S45" s="69">
        <f>IF($B$5&lt;$F46,MIN(R45,63-$B$5),0)</f>
        <v>28</v>
      </c>
      <c r="T45" s="27">
        <f t="shared" si="63"/>
        <v>33.279384289538072</v>
      </c>
      <c r="U45" s="27">
        <f>IF($S$13&gt;R45,$G45-$G44,$G45)*T45</f>
        <v>1.9967630573722848</v>
      </c>
      <c r="V45" s="71">
        <f t="shared" si="64"/>
        <v>0</v>
      </c>
      <c r="W45" s="72">
        <f t="shared" ref="W45:W49" si="77">R45-1</f>
        <v>27</v>
      </c>
      <c r="X45" s="69">
        <f>IF($B$5&lt;$F46,MIN(W45,62-$B$5),0)</f>
        <v>27</v>
      </c>
      <c r="Y45" s="27">
        <f t="shared" si="65"/>
        <v>31.880873372383274</v>
      </c>
      <c r="Z45" s="27">
        <f>IF($X$13&gt;W45,$G45-$G44,$G45)*Y45</f>
        <v>1.9128524023429967</v>
      </c>
      <c r="AA45" s="71">
        <f t="shared" si="66"/>
        <v>0</v>
      </c>
      <c r="AB45" s="72">
        <f t="shared" ref="AB45:AB49" si="78">W45-1</f>
        <v>26</v>
      </c>
      <c r="AC45" s="69">
        <f>IF($B$5&lt;$F46,MIN(AB45,61-$B$5),0)</f>
        <v>26</v>
      </c>
      <c r="AD45" s="27">
        <f t="shared" si="67"/>
        <v>30.499628022106968</v>
      </c>
      <c r="AE45" s="27">
        <f>IF($AC$13&gt;AB45,$G45-$G44,$G45)*AD45</f>
        <v>1.8299776813264184</v>
      </c>
      <c r="AF45" s="71">
        <f t="shared" si="68"/>
        <v>0</v>
      </c>
      <c r="AG45" s="72">
        <f t="shared" ref="AG45:AG49" si="79">AB45-1</f>
        <v>25</v>
      </c>
      <c r="AH45" s="69">
        <f>IF($B$5&lt;$F46,MIN(AG45,60-$B$5),0)</f>
        <v>25</v>
      </c>
      <c r="AI45" s="27">
        <f t="shared" si="69"/>
        <v>29.135435083562413</v>
      </c>
      <c r="AJ45" s="27">
        <f>IF($AH$13&gt;AG45,$G45-$G44,$G45)*AI45</f>
        <v>1.7481261050137451</v>
      </c>
      <c r="AK45" s="71">
        <f t="shared" si="70"/>
        <v>0</v>
      </c>
      <c r="AL45" s="72">
        <f t="shared" ref="AL45:AL49" si="80">AG45-1</f>
        <v>24</v>
      </c>
      <c r="AM45" s="69">
        <f>IF($B$5&lt;$F46,MIN(AL45,59-$B$5),0)</f>
        <v>24</v>
      </c>
      <c r="AN45" s="27">
        <f t="shared" si="71"/>
        <v>27.788084033148071</v>
      </c>
      <c r="AO45" s="27">
        <f>IF($AM$13&gt;AL45,$G45-$G44,$G45)*AN45</f>
        <v>1.6672850419888845</v>
      </c>
      <c r="AP45" s="71">
        <f t="shared" si="72"/>
        <v>0</v>
      </c>
      <c r="AQ45" s="72">
        <f t="shared" ref="AQ45:AQ49" si="81">AL45-1</f>
        <v>23</v>
      </c>
      <c r="AR45" s="69">
        <f>IF($B$5&lt;$F46,MIN(AQ45,58-$B$5),0)</f>
        <v>23</v>
      </c>
      <c r="AS45" s="27">
        <f t="shared" si="73"/>
        <v>26.45736694631907</v>
      </c>
      <c r="AT45" s="27">
        <f>IF($AR$13&gt;AQ45,$G45-$G44,$G45)*AS45</f>
        <v>1.5874420167791445</v>
      </c>
      <c r="AU45" s="71">
        <f t="shared" si="74"/>
        <v>0</v>
      </c>
    </row>
    <row r="46" spans="1:47" x14ac:dyDescent="0.2">
      <c r="A46" s="76"/>
      <c r="B46" s="102"/>
      <c r="E46" s="59"/>
      <c r="F46" s="69">
        <v>40</v>
      </c>
      <c r="G46" s="70">
        <v>0.19</v>
      </c>
      <c r="H46" s="69">
        <v>25</v>
      </c>
      <c r="I46" s="69">
        <f>IF($B$5&lt;$F47,MIN(H46,65-$B$5),0)</f>
        <v>25</v>
      </c>
      <c r="J46" s="27">
        <f t="shared" si="59"/>
        <v>29.135435083562413</v>
      </c>
      <c r="K46" s="27">
        <f t="shared" ref="K46:K49" si="82">IF($I$13&gt;H46,$G46-$G45,$G46)*J46</f>
        <v>0.582708701671248</v>
      </c>
      <c r="L46" s="71">
        <f t="shared" si="60"/>
        <v>0</v>
      </c>
      <c r="M46" s="72">
        <f t="shared" si="75"/>
        <v>24</v>
      </c>
      <c r="N46" s="69">
        <f>IF($B$5&lt;$F47,MIN(M46,64-$B$5),0)</f>
        <v>24</v>
      </c>
      <c r="O46" s="27">
        <f t="shared" si="61"/>
        <v>27.788084033148071</v>
      </c>
      <c r="P46" s="27">
        <f>IF($N$13&gt;M46,$G46-$G45,$G46)*O46</f>
        <v>0.55576168066296117</v>
      </c>
      <c r="Q46" s="71">
        <f t="shared" si="62"/>
        <v>0</v>
      </c>
      <c r="R46" s="72">
        <f t="shared" si="76"/>
        <v>23</v>
      </c>
      <c r="S46" s="69">
        <f>IF($B$5&lt;$F47,MIN(R46,63-$B$5),0)</f>
        <v>23</v>
      </c>
      <c r="T46" s="27">
        <f t="shared" si="63"/>
        <v>26.45736694631907</v>
      </c>
      <c r="U46" s="27">
        <f>IF($S$13&gt;R46,$G46-$G45,$G46)*T46</f>
        <v>0.52914733892638111</v>
      </c>
      <c r="V46" s="71">
        <f t="shared" si="64"/>
        <v>0</v>
      </c>
      <c r="W46" s="72">
        <f t="shared" si="77"/>
        <v>22</v>
      </c>
      <c r="X46" s="69">
        <f>IF($B$5&lt;$F47,MIN(W46,62-$B$5),0)</f>
        <v>22</v>
      </c>
      <c r="Y46" s="27">
        <f t="shared" si="65"/>
        <v>25.143078465500324</v>
      </c>
      <c r="Z46" s="27">
        <f>IF($X$13&gt;W46,$G46-$G45,$G46)*Y46</f>
        <v>0.50286156931000625</v>
      </c>
      <c r="AA46" s="71">
        <f t="shared" si="66"/>
        <v>0</v>
      </c>
      <c r="AB46" s="72">
        <f t="shared" si="78"/>
        <v>21</v>
      </c>
      <c r="AC46" s="69">
        <f>IF($B$5&lt;$F47,MIN(AB46,61-$B$5),0)</f>
        <v>21</v>
      </c>
      <c r="AD46" s="27">
        <f t="shared" si="67"/>
        <v>23.845015768395381</v>
      </c>
      <c r="AE46" s="27">
        <f>IF($AC$13&gt;AB46,$G46-$G45,$G46)*AD46</f>
        <v>0.47690031536790739</v>
      </c>
      <c r="AF46" s="71">
        <f t="shared" si="68"/>
        <v>0</v>
      </c>
      <c r="AG46" s="72">
        <f t="shared" si="79"/>
        <v>20</v>
      </c>
      <c r="AH46" s="69">
        <f>IF($B$5&lt;$F47,MIN(AG46,60-$B$5),0)</f>
        <v>20</v>
      </c>
      <c r="AI46" s="27">
        <f t="shared" si="69"/>
        <v>22.562978536686806</v>
      </c>
      <c r="AJ46" s="27">
        <f>IF($AH$13&gt;AG46,$G46-$G45,$G46)*AI46</f>
        <v>0.4512595707337359</v>
      </c>
      <c r="AK46" s="71">
        <f t="shared" si="70"/>
        <v>0</v>
      </c>
      <c r="AL46" s="72">
        <f t="shared" si="80"/>
        <v>19</v>
      </c>
      <c r="AM46" s="69">
        <f>IF($B$5&lt;$F47,MIN(AL46,59-$B$5),0)</f>
        <v>19</v>
      </c>
      <c r="AN46" s="27">
        <f t="shared" si="71"/>
        <v>21.296768925122773</v>
      </c>
      <c r="AO46" s="27">
        <f>IF($AM$13&gt;AL46,$G46-$G45,$G46)*AN46</f>
        <v>0.42593537850245528</v>
      </c>
      <c r="AP46" s="71">
        <f t="shared" si="72"/>
        <v>0</v>
      </c>
      <c r="AQ46" s="72">
        <f t="shared" si="81"/>
        <v>18</v>
      </c>
      <c r="AR46" s="69">
        <f>IF($B$5&lt;$F47,MIN(AQ46,58-$B$5),0)</f>
        <v>18</v>
      </c>
      <c r="AS46" s="27">
        <f t="shared" si="73"/>
        <v>20.046191530985471</v>
      </c>
      <c r="AT46" s="27">
        <f>IF($AR$13&gt;AQ46,$G46-$G45,$G46)*AS46</f>
        <v>0.40092383061970921</v>
      </c>
      <c r="AU46" s="71">
        <f t="shared" si="74"/>
        <v>0</v>
      </c>
    </row>
    <row r="47" spans="1:47" x14ac:dyDescent="0.2">
      <c r="B47" s="102"/>
      <c r="E47" s="59"/>
      <c r="F47" s="75">
        <v>45</v>
      </c>
      <c r="G47" s="70">
        <v>0.23499999999999999</v>
      </c>
      <c r="H47" s="69">
        <v>20</v>
      </c>
      <c r="I47" s="69">
        <f>IF($B$5&lt;$F48,MIN(H47,65-$B$5),0)</f>
        <v>20</v>
      </c>
      <c r="J47" s="27">
        <f t="shared" si="59"/>
        <v>22.562978536686806</v>
      </c>
      <c r="K47" s="27">
        <f t="shared" si="82"/>
        <v>1.0153340341509058</v>
      </c>
      <c r="L47" s="71">
        <f t="shared" si="60"/>
        <v>0</v>
      </c>
      <c r="M47" s="72">
        <f t="shared" si="75"/>
        <v>19</v>
      </c>
      <c r="N47" s="69">
        <f>IF($B$5&lt;$F48,MIN(M47,64-$B$5),0)</f>
        <v>19</v>
      </c>
      <c r="O47" s="27">
        <f t="shared" si="61"/>
        <v>21.296768925122773</v>
      </c>
      <c r="P47" s="27">
        <f>IF($N$13&gt;M47,$G47-$G46,$G47)*O47</f>
        <v>0.95835460163052444</v>
      </c>
      <c r="Q47" s="71">
        <f t="shared" si="62"/>
        <v>0</v>
      </c>
      <c r="R47" s="72">
        <f t="shared" si="76"/>
        <v>18</v>
      </c>
      <c r="S47" s="69">
        <f>IF($B$5&lt;$F48,MIN(R47,63-$B$5),0)</f>
        <v>18</v>
      </c>
      <c r="T47" s="27">
        <f t="shared" si="63"/>
        <v>20.046191530985471</v>
      </c>
      <c r="U47" s="27">
        <f>IF($S$13&gt;R47,$G47-$G46,$G47)*T47</f>
        <v>0.90207861889434593</v>
      </c>
      <c r="V47" s="71">
        <f t="shared" si="64"/>
        <v>0</v>
      </c>
      <c r="W47" s="72">
        <f t="shared" si="77"/>
        <v>17</v>
      </c>
      <c r="X47" s="69">
        <f>IF($B$5&lt;$F48,MIN(W47,62-$B$5),0)</f>
        <v>17</v>
      </c>
      <c r="Y47" s="27">
        <f t="shared" si="65"/>
        <v>18.811053363936256</v>
      </c>
      <c r="Z47" s="27">
        <f>IF($X$13&gt;W47,$G47-$G46,$G47)*Y47</f>
        <v>0.84649740137713125</v>
      </c>
      <c r="AA47" s="71">
        <f t="shared" si="66"/>
        <v>0</v>
      </c>
      <c r="AB47" s="72">
        <f t="shared" si="78"/>
        <v>16</v>
      </c>
      <c r="AC47" s="69">
        <f>IF($B$5&lt;$F48,MIN(AB47,61-$B$5),0)</f>
        <v>16</v>
      </c>
      <c r="AD47" s="27">
        <f t="shared" si="67"/>
        <v>17.591163816233344</v>
      </c>
      <c r="AE47" s="27">
        <f>IF($AC$13&gt;AB47,$G47-$G46,$G47)*AD47</f>
        <v>0.79160237173050019</v>
      </c>
      <c r="AF47" s="71">
        <f t="shared" si="68"/>
        <v>0</v>
      </c>
      <c r="AG47" s="72">
        <f t="shared" si="79"/>
        <v>15</v>
      </c>
      <c r="AH47" s="69">
        <f>IF($B$5&lt;$F48,MIN(AG47,60-$B$5),0)</f>
        <v>15</v>
      </c>
      <c r="AI47" s="27">
        <f t="shared" si="69"/>
        <v>16.386334633316864</v>
      </c>
      <c r="AJ47" s="27">
        <f>IF($AH$13&gt;AG47,$G47-$G46,$G47)*AI47</f>
        <v>0.73738505849925862</v>
      </c>
      <c r="AK47" s="71">
        <f t="shared" si="70"/>
        <v>0</v>
      </c>
      <c r="AL47" s="72">
        <f t="shared" si="80"/>
        <v>14</v>
      </c>
      <c r="AM47" s="69">
        <f>IF($B$5&lt;$F48,MIN(AL47,59-$B$5),0)</f>
        <v>14</v>
      </c>
      <c r="AN47" s="27">
        <f t="shared" si="71"/>
        <v>15.196379884757416</v>
      </c>
      <c r="AO47" s="27">
        <f>IF($AM$13&gt;AL47,$G47-$G46,$G47)*AN47</f>
        <v>0.6838370948140835</v>
      </c>
      <c r="AP47" s="71">
        <f t="shared" si="72"/>
        <v>0</v>
      </c>
      <c r="AQ47" s="72">
        <f t="shared" si="81"/>
        <v>13</v>
      </c>
      <c r="AR47" s="69">
        <f>IF($B$5&lt;$F48,MIN(AQ47,58-$B$5),0)</f>
        <v>13</v>
      </c>
      <c r="AS47" s="27">
        <f t="shared" si="73"/>
        <v>14.021115935562865</v>
      </c>
      <c r="AT47" s="27">
        <f>IF($AR$13&gt;AQ47,$G47-$G46,$G47)*AS47</f>
        <v>0.63095021710032873</v>
      </c>
      <c r="AU47" s="71">
        <f t="shared" si="74"/>
        <v>0</v>
      </c>
    </row>
    <row r="48" spans="1:47" x14ac:dyDescent="0.2">
      <c r="B48" s="56"/>
      <c r="E48" s="59"/>
      <c r="F48" s="75">
        <v>50</v>
      </c>
      <c r="G48" s="70">
        <v>0.245</v>
      </c>
      <c r="H48" s="69">
        <v>15</v>
      </c>
      <c r="I48" s="69">
        <f>IF($B$5&lt;$F49,MIN(H48,65-$B$5),0)</f>
        <v>15</v>
      </c>
      <c r="J48" s="27">
        <f t="shared" si="59"/>
        <v>16.386334633316864</v>
      </c>
      <c r="K48" s="27">
        <f t="shared" si="82"/>
        <v>0.16386334633316879</v>
      </c>
      <c r="L48" s="71">
        <f t="shared" si="60"/>
        <v>0</v>
      </c>
      <c r="M48" s="72">
        <f t="shared" si="75"/>
        <v>14</v>
      </c>
      <c r="N48" s="69">
        <f>IF($B$5&lt;$F49,MIN(M48,64-$B$5),0)</f>
        <v>14</v>
      </c>
      <c r="O48" s="27">
        <f t="shared" si="61"/>
        <v>15.196379884757416</v>
      </c>
      <c r="P48" s="27">
        <f>IF($N$13&gt;M48,$G48-$G47,$G48)*O48</f>
        <v>0.1519637988475743</v>
      </c>
      <c r="Q48" s="71">
        <f t="shared" si="62"/>
        <v>0</v>
      </c>
      <c r="R48" s="72">
        <f t="shared" si="76"/>
        <v>13</v>
      </c>
      <c r="S48" s="69">
        <f>IF($B$5&lt;$F49,MIN(R48,63-$B$5),0)</f>
        <v>13</v>
      </c>
      <c r="T48" s="27">
        <f t="shared" si="63"/>
        <v>14.021115935562865</v>
      </c>
      <c r="U48" s="27">
        <f>IF($S$13&gt;R48,$G48-$G47,$G48)*T48</f>
        <v>0.14021115935562878</v>
      </c>
      <c r="V48" s="71">
        <f t="shared" si="64"/>
        <v>0</v>
      </c>
      <c r="W48" s="72">
        <f t="shared" si="77"/>
        <v>12</v>
      </c>
      <c r="X48" s="69">
        <f>IF($B$5&lt;$F49,MIN(W48,62-$B$5),0)</f>
        <v>12</v>
      </c>
      <c r="Y48" s="27">
        <f t="shared" si="65"/>
        <v>12.860361417839883</v>
      </c>
      <c r="Z48" s="27">
        <f>IF($X$13&gt;W48,$G48-$G47,$G48)*Y48</f>
        <v>0.12860361417839894</v>
      </c>
      <c r="AA48" s="71">
        <f t="shared" si="66"/>
        <v>0</v>
      </c>
      <c r="AB48" s="72">
        <f t="shared" si="78"/>
        <v>11</v>
      </c>
      <c r="AC48" s="69">
        <f>IF($B$5&lt;$F49,MIN(AB48,61-$B$5),0)</f>
        <v>11</v>
      </c>
      <c r="AD48" s="27">
        <f t="shared" si="67"/>
        <v>11.713937202804807</v>
      </c>
      <c r="AE48" s="27">
        <f>IF($AC$13&gt;AB48,$G48-$G47,$G48)*AD48</f>
        <v>0.11713937202804818</v>
      </c>
      <c r="AF48" s="71">
        <f t="shared" si="68"/>
        <v>0</v>
      </c>
      <c r="AG48" s="72">
        <f t="shared" si="79"/>
        <v>10</v>
      </c>
      <c r="AH48" s="69">
        <f>IF($B$5&lt;$F49,MIN(AG48,60-$B$5),0)</f>
        <v>10</v>
      </c>
      <c r="AI48" s="27">
        <f t="shared" si="69"/>
        <v>10.581666373140575</v>
      </c>
      <c r="AJ48" s="27">
        <f>IF($AH$13&gt;AG48,$G48-$G47,$G48)*AI48</f>
        <v>0.10581666373140584</v>
      </c>
      <c r="AK48" s="71">
        <f t="shared" si="70"/>
        <v>0</v>
      </c>
      <c r="AL48" s="72">
        <f t="shared" si="80"/>
        <v>9</v>
      </c>
      <c r="AM48" s="69">
        <f>IF($B$5&lt;$F49,MIN(AL48,59-$B$5),0)</f>
        <v>9</v>
      </c>
      <c r="AN48" s="27">
        <f t="shared" si="71"/>
        <v>9.4633741956943851</v>
      </c>
      <c r="AO48" s="27">
        <f>IF($AM$13&gt;AL48,$G48-$G47,$G48)*AN48</f>
        <v>9.4633741956943934E-2</v>
      </c>
      <c r="AP48" s="71">
        <f t="shared" si="72"/>
        <v>0</v>
      </c>
      <c r="AQ48" s="72">
        <f t="shared" si="81"/>
        <v>8</v>
      </c>
      <c r="AR48" s="69">
        <f>IF($B$5&lt;$F49,MIN(AQ48,58-$B$5),0)</f>
        <v>8</v>
      </c>
      <c r="AS48" s="27">
        <f t="shared" si="73"/>
        <v>8.3588880945129773</v>
      </c>
      <c r="AT48" s="27">
        <f>IF($AR$13&gt;AQ48,$G48-$G47,$G48)*AS48</f>
        <v>8.3588880945129854E-2</v>
      </c>
      <c r="AU48" s="71">
        <f t="shared" si="74"/>
        <v>0</v>
      </c>
    </row>
    <row r="49" spans="1:47" x14ac:dyDescent="0.2">
      <c r="A49" s="76"/>
      <c r="B49" s="56"/>
      <c r="E49" s="59"/>
      <c r="F49" s="75">
        <v>55</v>
      </c>
      <c r="G49" s="70">
        <v>0.32</v>
      </c>
      <c r="H49" s="69">
        <v>10</v>
      </c>
      <c r="I49" s="77">
        <f>MAX(0,MIN(H49,65-$B$5))</f>
        <v>10</v>
      </c>
      <c r="J49" s="27">
        <f t="shared" si="59"/>
        <v>10.581666373140575</v>
      </c>
      <c r="K49" s="27">
        <f t="shared" si="82"/>
        <v>0.79362497798554321</v>
      </c>
      <c r="L49" s="71">
        <f t="shared" si="60"/>
        <v>0</v>
      </c>
      <c r="M49" s="72">
        <f t="shared" si="75"/>
        <v>9</v>
      </c>
      <c r="N49" s="77">
        <f>MAX(0,MIN(M49,64-$B$5))</f>
        <v>9</v>
      </c>
      <c r="O49" s="27">
        <f t="shared" si="61"/>
        <v>9.4633741956943851</v>
      </c>
      <c r="P49" s="27">
        <f>IF($N$13&gt;M49,$G49-$G48,$G49)*O49</f>
        <v>0.70975306467707899</v>
      </c>
      <c r="Q49" s="71">
        <f t="shared" si="62"/>
        <v>0</v>
      </c>
      <c r="R49" s="72">
        <f t="shared" si="76"/>
        <v>8</v>
      </c>
      <c r="S49" s="77">
        <f>MAX(0,MIN(R49,63-$B$5))</f>
        <v>8</v>
      </c>
      <c r="T49" s="27">
        <f t="shared" si="63"/>
        <v>8.3588880945129773</v>
      </c>
      <c r="U49" s="27">
        <f>IF($S$13&gt;R49,$G49-$G48,$G49)*T49</f>
        <v>0.62691660708847341</v>
      </c>
      <c r="V49" s="71">
        <f t="shared" si="64"/>
        <v>0</v>
      </c>
      <c r="W49" s="72">
        <f t="shared" si="77"/>
        <v>7</v>
      </c>
      <c r="X49" s="77">
        <f>MAX(0,MIN(W49,62-$B$5))</f>
        <v>7</v>
      </c>
      <c r="Y49" s="27">
        <f t="shared" si="65"/>
        <v>7.2680376242103328</v>
      </c>
      <c r="Z49" s="27">
        <f>IF($X$13&gt;W49,$G49-$G48,$G49)*Y49</f>
        <v>0.54510282181577507</v>
      </c>
      <c r="AA49" s="71">
        <f t="shared" si="66"/>
        <v>0</v>
      </c>
      <c r="AB49" s="72">
        <f t="shared" si="78"/>
        <v>6</v>
      </c>
      <c r="AC49" s="77">
        <f>MAX(0,MIN(AB49,61-$B$5))</f>
        <v>6</v>
      </c>
      <c r="AD49" s="27">
        <f t="shared" si="67"/>
        <v>6.1906544436645383</v>
      </c>
      <c r="AE49" s="27">
        <f>IF($AC$13&gt;AB49,$G49-$G48,$G49)*AD49</f>
        <v>0.46429908327484043</v>
      </c>
      <c r="AF49" s="71">
        <f t="shared" si="68"/>
        <v>0</v>
      </c>
      <c r="AG49" s="72">
        <f t="shared" si="79"/>
        <v>5</v>
      </c>
      <c r="AH49" s="77">
        <f>MAX(0,MIN(AG49,60-$B$5))</f>
        <v>5</v>
      </c>
      <c r="AI49" s="27">
        <f t="shared" si="69"/>
        <v>5.1265722900390465</v>
      </c>
      <c r="AJ49" s="27">
        <f>IF($AH$13&gt;AG49,$G49-$G48,$G49)*AI49</f>
        <v>0.38449292175292854</v>
      </c>
      <c r="AK49" s="71">
        <f t="shared" si="70"/>
        <v>0</v>
      </c>
      <c r="AL49" s="72">
        <f t="shared" si="80"/>
        <v>4</v>
      </c>
      <c r="AM49" s="77">
        <f>MAX(0,MIN(AL49,59-$B$5))</f>
        <v>4</v>
      </c>
      <c r="AN49" s="27">
        <f t="shared" si="71"/>
        <v>4.0756269531249956</v>
      </c>
      <c r="AO49" s="27">
        <f>IF($AM$13&gt;AL49,$G49-$G48,$G49)*AN49</f>
        <v>0.30567202148437472</v>
      </c>
      <c r="AP49" s="71">
        <f t="shared" si="72"/>
        <v>0</v>
      </c>
      <c r="AQ49" s="72">
        <f t="shared" si="81"/>
        <v>3</v>
      </c>
      <c r="AR49" s="77">
        <f>MAX(0,MIN(AQ49,58-$B$5))</f>
        <v>3</v>
      </c>
      <c r="AS49" s="27">
        <f t="shared" si="73"/>
        <v>3.0376562499999871</v>
      </c>
      <c r="AT49" s="27">
        <f>IF($AR$13&gt;AQ49,$G49-$G48,$G49)*AS49</f>
        <v>0.22782421874999906</v>
      </c>
      <c r="AU49" s="71">
        <f t="shared" si="74"/>
        <v>0</v>
      </c>
    </row>
    <row r="50" spans="1:47" x14ac:dyDescent="0.2">
      <c r="A50" s="76"/>
      <c r="B50" s="56"/>
      <c r="E50" s="59"/>
      <c r="F50" s="79"/>
      <c r="G50" s="80"/>
      <c r="I50" s="69">
        <f>MONTH($B$4)</f>
        <v>1</v>
      </c>
      <c r="J50" s="27">
        <f>I50*$B$14/12+1</f>
        <v>1.0010416666666666</v>
      </c>
      <c r="K50" s="27">
        <f>$I$12/12*$G$49*$B$13</f>
        <v>0</v>
      </c>
      <c r="L50" s="81">
        <f>SUM(L44:L49)*J50+K50</f>
        <v>0</v>
      </c>
      <c r="M50" s="82"/>
      <c r="N50" s="69" t="str">
        <f>$C$5</f>
        <v>01</v>
      </c>
      <c r="O50" s="27">
        <f>N50*$B$14/12+1</f>
        <v>1.0010416666666666</v>
      </c>
      <c r="P50" s="27">
        <f>$I$12/12*$G$49*$B$13</f>
        <v>0</v>
      </c>
      <c r="Q50" s="81">
        <f>SUM(Q44:Q49)*O50+P50</f>
        <v>0</v>
      </c>
      <c r="R50" s="82"/>
      <c r="S50" s="69" t="str">
        <f>$C$5</f>
        <v>01</v>
      </c>
      <c r="T50" s="27">
        <f>S50*$B$14/12+1</f>
        <v>1.0010416666666666</v>
      </c>
      <c r="U50" s="27">
        <f>$I$12/12*$G$49*$B$13</f>
        <v>0</v>
      </c>
      <c r="V50" s="81">
        <f>SUM(V44:V49)*T50+U50</f>
        <v>0</v>
      </c>
      <c r="W50" s="82"/>
      <c r="X50" s="69" t="str">
        <f>$C$5</f>
        <v>01</v>
      </c>
      <c r="Y50" s="27">
        <f>X50*$B$14/12+1</f>
        <v>1.0010416666666666</v>
      </c>
      <c r="Z50" s="27">
        <f>$I$12/12*$G$49*$B$13</f>
        <v>0</v>
      </c>
      <c r="AA50" s="81">
        <f>SUM(AA44:AA49)*Y50+Z50</f>
        <v>0</v>
      </c>
      <c r="AB50" s="82"/>
      <c r="AC50" s="69" t="str">
        <f>$C$5</f>
        <v>01</v>
      </c>
      <c r="AD50" s="27">
        <f>AC50*$B$14/12+1</f>
        <v>1.0010416666666666</v>
      </c>
      <c r="AE50" s="27">
        <f>$I$12/12*$G$49*$B$13</f>
        <v>0</v>
      </c>
      <c r="AF50" s="81">
        <f>SUM(AF44:AF49)*AD50+AE50</f>
        <v>0</v>
      </c>
      <c r="AG50" s="82"/>
      <c r="AH50" s="69" t="str">
        <f>$C$5</f>
        <v>01</v>
      </c>
      <c r="AI50" s="27">
        <f>AH50*$B$14/12+1</f>
        <v>1.0010416666666666</v>
      </c>
      <c r="AJ50" s="27">
        <f>$I$12/12*$G$49*$B$13</f>
        <v>0</v>
      </c>
      <c r="AK50" s="81">
        <f>SUM(AK44:AK49)*AI50+AJ50</f>
        <v>0</v>
      </c>
      <c r="AL50" s="82"/>
      <c r="AM50" s="69" t="str">
        <f>$C$5</f>
        <v>01</v>
      </c>
      <c r="AN50" s="27">
        <f>AM50*$B$14/12+1</f>
        <v>1.0010416666666666</v>
      </c>
      <c r="AO50" s="27">
        <f>$I$12/12*$G$49*$B$13</f>
        <v>0</v>
      </c>
      <c r="AP50" s="81">
        <f>SUM(AP44:AP49)*AN50+AO50</f>
        <v>0</v>
      </c>
      <c r="AQ50" s="82"/>
      <c r="AR50" s="69" t="str">
        <f>$C$5</f>
        <v>01</v>
      </c>
      <c r="AS50" s="27">
        <f>AR50*$B$14/12+1</f>
        <v>1.0010416666666666</v>
      </c>
      <c r="AT50" s="27">
        <f>$I$12/12*$G$49*$B$13</f>
        <v>0</v>
      </c>
      <c r="AU50" s="81">
        <f>SUM(AU44:AU49)*AS50+AT50</f>
        <v>0</v>
      </c>
    </row>
    <row r="51" spans="1:47" x14ac:dyDescent="0.2">
      <c r="A51" s="76"/>
      <c r="B51" s="56"/>
      <c r="E51" s="59"/>
      <c r="F51" s="84"/>
      <c r="G51" s="85"/>
      <c r="H51" s="86"/>
      <c r="I51" s="87">
        <f>MAX(0,65-$B$5)</f>
        <v>64</v>
      </c>
      <c r="J51" s="60">
        <f>POWER((1+$B$14),I51)*($B$14/12*$I$12+1)</f>
        <v>2.2168392152050842</v>
      </c>
      <c r="K51" s="60"/>
      <c r="L51" s="88" t="e">
        <f>J51*($B$21+$B$35)</f>
        <v>#N/A</v>
      </c>
      <c r="M51" s="89"/>
      <c r="N51" s="87">
        <f>MAX(0,64-$B$5)</f>
        <v>63</v>
      </c>
      <c r="O51" s="60">
        <f>POWER((1+$B$14),N51)*($B$14/12*$I$12+1)</f>
        <v>2.1894708298321817</v>
      </c>
      <c r="P51" s="60"/>
      <c r="Q51" s="88" t="e">
        <f>IF($B$18=64,O51*($B$17+$B$35),O51*($B$21+$B$35))</f>
        <v>#N/A</v>
      </c>
      <c r="R51" s="89"/>
      <c r="S51" s="87">
        <f>MAX(0,63-$B$5)</f>
        <v>62</v>
      </c>
      <c r="T51" s="60">
        <f>POWER((1+$B$14),S51)*($B$14/12*$I$12+1)</f>
        <v>2.1624403257601799</v>
      </c>
      <c r="U51" s="60"/>
      <c r="V51" s="88" t="e">
        <f>IF($B$18=63,T51*($B$17+$B$35),T51*($B$21+$B$35))</f>
        <v>#N/A</v>
      </c>
      <c r="W51" s="89"/>
      <c r="X51" s="87">
        <f>MAX(0,62-$B$5)</f>
        <v>61</v>
      </c>
      <c r="Y51" s="60">
        <f>POWER((1+$B$14),X51)*($B$14/12*$I$12+1)</f>
        <v>2.1357435316149918</v>
      </c>
      <c r="Z51" s="60"/>
      <c r="AA51" s="88" t="e">
        <f>IF($B$18=62,Y51*($B$17+$B$35),Y51*($B$21+$B$35))</f>
        <v>#N/A</v>
      </c>
      <c r="AB51" s="89"/>
      <c r="AC51" s="87">
        <f>MAX(0,61-$B$5)</f>
        <v>60</v>
      </c>
      <c r="AD51" s="60">
        <f>POWER((1+$B$14),AC51)*($B$14/12*$I$12+1)</f>
        <v>2.1093763275209798</v>
      </c>
      <c r="AE51" s="60"/>
      <c r="AF51" s="88" t="e">
        <f>IF($B$18=61,AD51*($B$17+$B$35),AD51*($B$21+$B$35))</f>
        <v>#N/A</v>
      </c>
      <c r="AG51" s="89"/>
      <c r="AH51" s="87">
        <f>MAX(0,60-$B$5)</f>
        <v>59</v>
      </c>
      <c r="AI51" s="60">
        <f>POWER((1+$B$14),AH51)*($B$14/12*$I$12+1)</f>
        <v>2.083334644465165</v>
      </c>
      <c r="AJ51" s="60"/>
      <c r="AK51" s="88" t="e">
        <f>IF($B$18=60,AI51*($B$17+$B$35),AI51*($B$21+$B$35))</f>
        <v>#N/A</v>
      </c>
      <c r="AL51" s="89"/>
      <c r="AM51" s="87">
        <f>MAX(0,59-$B$5)</f>
        <v>58</v>
      </c>
      <c r="AN51" s="60">
        <f>POWER((1+$B$14),AM51)*($B$14/12*$I$12+1)</f>
        <v>2.0576144636692995</v>
      </c>
      <c r="AO51" s="60"/>
      <c r="AP51" s="88" t="e">
        <f>IF($B$18=59,AN51*($B$17+$B$35),AN51*($B$21+$B$35))</f>
        <v>#N/A</v>
      </c>
      <c r="AQ51" s="89"/>
      <c r="AR51" s="87">
        <f>MAX(0,58-$B$5)</f>
        <v>57</v>
      </c>
      <c r="AS51" s="60">
        <f>POWER((1+$B$14),AR51)*($B$14/12*$I$12+1)</f>
        <v>2.0322118159696778</v>
      </c>
      <c r="AT51" s="60"/>
      <c r="AU51" s="88" t="e">
        <f>IF($B$18=58,AS51*($B$17+$B$35),AS51*($B$21+$B$35))</f>
        <v>#N/A</v>
      </c>
    </row>
    <row r="52" spans="1:47" x14ac:dyDescent="0.2">
      <c r="A52" s="76"/>
      <c r="B52" s="56"/>
      <c r="E52" s="59"/>
      <c r="F52" s="90" t="s">
        <v>93</v>
      </c>
      <c r="H52" s="57" t="s">
        <v>1</v>
      </c>
      <c r="I52" s="91" t="s">
        <v>2</v>
      </c>
      <c r="L52" s="92" t="e">
        <f>(L50+L51)*L55</f>
        <v>#N/A</v>
      </c>
      <c r="M52" s="82"/>
      <c r="Q52" s="92" t="e">
        <f>(Q50+Q51)*Q55</f>
        <v>#N/A</v>
      </c>
      <c r="R52" s="82"/>
      <c r="V52" s="92" t="e">
        <f>(V50+V51)*V55</f>
        <v>#N/A</v>
      </c>
      <c r="W52" s="82"/>
      <c r="AA52" s="92" t="e">
        <f>(AA50+AA51)*AA55</f>
        <v>#N/A</v>
      </c>
      <c r="AB52" s="82"/>
      <c r="AF52" s="92" t="e">
        <f>(AF50+AF51)*AF55</f>
        <v>#N/A</v>
      </c>
      <c r="AG52" s="82"/>
      <c r="AK52" s="92" t="e">
        <f>(AK50+AK51)*AK55</f>
        <v>#N/A</v>
      </c>
      <c r="AL52" s="82"/>
      <c r="AP52" s="92" t="e">
        <f>(AP50+AP51)*AP55</f>
        <v>#N/A</v>
      </c>
      <c r="AQ52" s="82"/>
      <c r="AU52" s="92" t="e">
        <f>(AU50+AU51)*AU55</f>
        <v>#N/A</v>
      </c>
    </row>
    <row r="53" spans="1:47" x14ac:dyDescent="0.2">
      <c r="A53" s="76"/>
      <c r="B53" s="56"/>
      <c r="E53" s="59"/>
      <c r="F53" s="79" t="s">
        <v>4</v>
      </c>
      <c r="G53" s="79"/>
      <c r="L53" s="93" t="e">
        <f>IF($C$7=1,VLOOKUP(YEAR($B$4),Reglement!$M$4:$U$17,9),VLOOKUP(YEAR($B$4),Reglement!$M$23:$U$37,9))</f>
        <v>#N/A</v>
      </c>
      <c r="M53" s="93"/>
      <c r="N53" s="93"/>
      <c r="O53" s="93"/>
      <c r="P53" s="93"/>
      <c r="Q53" s="93" t="e">
        <f>IF($C$7=1,VLOOKUP(YEAR($B$4),Reglement!$M$4:$U$17,8),VLOOKUP(YEAR($B$4),Reglement!$M$23:$U$37,8))</f>
        <v>#N/A</v>
      </c>
      <c r="R53" s="93"/>
      <c r="S53" s="93"/>
      <c r="T53" s="93"/>
      <c r="U53" s="93"/>
      <c r="V53" s="93" t="e">
        <f>IF($C$7=1,VLOOKUP(YEAR($B$4),Reglement!$M$4:$U$17,7),VLOOKUP(YEAR($B$4),Reglement!$M$23:$U$37,7))</f>
        <v>#N/A</v>
      </c>
      <c r="W53" s="93"/>
      <c r="X53" s="93"/>
      <c r="Y53" s="93"/>
      <c r="Z53" s="93"/>
      <c r="AA53" s="93" t="e">
        <f>IF($C$7=1,VLOOKUP(YEAR($B$4),Reglement!$M$4:$U$17,6),VLOOKUP(YEAR($B$4),Reglement!$M$23:$U$37,6))</f>
        <v>#N/A</v>
      </c>
      <c r="AB53" s="93"/>
      <c r="AC53" s="93"/>
      <c r="AD53" s="93"/>
      <c r="AE53" s="93"/>
      <c r="AF53" s="93" t="e">
        <f>IF($C$7=1,VLOOKUP(YEAR($B$4),Reglement!$M$4:$U$17,5),VLOOKUP(YEAR($B$4),Reglement!$M$23:$U$37,5))</f>
        <v>#N/A</v>
      </c>
      <c r="AG53" s="93"/>
      <c r="AH53" s="93"/>
      <c r="AI53" s="93"/>
      <c r="AJ53" s="93"/>
      <c r="AK53" s="93" t="e">
        <f>IF($C$7=1,VLOOKUP(YEAR($B$4),Reglement!$M$4:$U$17,4),VLOOKUP(YEAR($B$4),Reglement!$M$23:$U$37,4))</f>
        <v>#N/A</v>
      </c>
      <c r="AL53" s="93"/>
      <c r="AM53" s="93"/>
      <c r="AN53" s="93"/>
      <c r="AO53" s="93"/>
      <c r="AP53" s="93" t="e">
        <f>IF($C$7=1,VLOOKUP(YEAR($B$4),Reglement!$M$4:$U$17,3),VLOOKUP(YEAR($B$4),Reglement!$M$23:$U$37,3))</f>
        <v>#N/A</v>
      </c>
      <c r="AQ53" s="93"/>
      <c r="AR53" s="93"/>
      <c r="AS53" s="93"/>
      <c r="AT53" s="93"/>
      <c r="AU53" s="93" t="e">
        <f>IF($C$7=1,VLOOKUP(YEAR($B$4),Reglement!$M$4:$U$17,2),VLOOKUP(YEAR($B$4),Reglement!$M$23:$U$37,2))</f>
        <v>#N/A</v>
      </c>
    </row>
    <row r="54" spans="1:47" x14ac:dyDescent="0.2">
      <c r="A54" s="76"/>
      <c r="B54" s="56"/>
      <c r="E54" s="59"/>
      <c r="F54" s="79" t="s">
        <v>16</v>
      </c>
      <c r="G54" s="79"/>
      <c r="L54" s="79" t="e">
        <f>L52*L53</f>
        <v>#N/A</v>
      </c>
      <c r="M54" s="79"/>
      <c r="N54" s="79"/>
      <c r="O54" s="79"/>
      <c r="P54" s="79"/>
      <c r="Q54" s="79" t="e">
        <f t="shared" ref="Q54" si="83">Q52*Q53</f>
        <v>#N/A</v>
      </c>
      <c r="R54" s="79"/>
      <c r="S54" s="79"/>
      <c r="T54" s="79"/>
      <c r="U54" s="79"/>
      <c r="V54" s="79" t="e">
        <f t="shared" ref="V54" si="84">V52*V53</f>
        <v>#N/A</v>
      </c>
      <c r="W54" s="79"/>
      <c r="X54" s="79"/>
      <c r="Y54" s="79"/>
      <c r="Z54" s="79"/>
      <c r="AA54" s="79" t="e">
        <f t="shared" ref="AA54" si="85">AA52*AA53</f>
        <v>#N/A</v>
      </c>
      <c r="AB54" s="79"/>
      <c r="AC54" s="79"/>
      <c r="AD54" s="79"/>
      <c r="AE54" s="79"/>
      <c r="AF54" s="79" t="e">
        <f t="shared" ref="AF54" si="86">AF52*AF53</f>
        <v>#N/A</v>
      </c>
      <c r="AG54" s="79"/>
      <c r="AH54" s="79"/>
      <c r="AI54" s="79"/>
      <c r="AJ54" s="79"/>
      <c r="AK54" s="79" t="e">
        <f t="shared" ref="AK54" si="87">AK52*AK53</f>
        <v>#N/A</v>
      </c>
      <c r="AL54" s="79"/>
      <c r="AM54" s="79"/>
      <c r="AN54" s="79"/>
      <c r="AO54" s="79"/>
      <c r="AP54" s="79" t="e">
        <f t="shared" ref="AP54" si="88">AP52*AP53</f>
        <v>#N/A</v>
      </c>
      <c r="AQ54" s="79"/>
      <c r="AR54" s="79"/>
      <c r="AS54" s="79"/>
      <c r="AT54" s="79"/>
      <c r="AU54" s="79" t="e">
        <f t="shared" ref="AU54" si="89">AU52*AU53</f>
        <v>#N/A</v>
      </c>
    </row>
    <row r="55" spans="1:47" x14ac:dyDescent="0.2">
      <c r="A55" s="76"/>
      <c r="B55" s="56"/>
      <c r="L55" s="95">
        <f>IF($B$18&gt;65,0,1)</f>
        <v>1</v>
      </c>
      <c r="M55" s="56"/>
      <c r="Q55" s="95">
        <f>IF($B$18&gt;64,0,1)</f>
        <v>1</v>
      </c>
      <c r="R55" s="56"/>
      <c r="V55" s="95">
        <f>IF($B$18&gt;63,0,1)</f>
        <v>1</v>
      </c>
      <c r="W55" s="56"/>
      <c r="AA55" s="95">
        <f>IF($B$18&gt;62,0,1)</f>
        <v>1</v>
      </c>
      <c r="AB55" s="56"/>
      <c r="AF55" s="95">
        <f>IF($B$18&gt;61,0,1)</f>
        <v>1</v>
      </c>
      <c r="AG55" s="56"/>
      <c r="AK55" s="95">
        <f>IF($B$18&gt;60,0,1)</f>
        <v>1</v>
      </c>
      <c r="AL55" s="56"/>
      <c r="AP55" s="95">
        <f>IF($B$18&gt;59,0,1)</f>
        <v>1</v>
      </c>
      <c r="AQ55" s="56"/>
      <c r="AU55" s="95">
        <f>IF($B$18&gt;58,0,1)</f>
        <v>1</v>
      </c>
    </row>
    <row r="56" spans="1:47" x14ac:dyDescent="0.2">
      <c r="B56" s="56"/>
    </row>
    <row r="57" spans="1:47" x14ac:dyDescent="0.2">
      <c r="A57" s="76"/>
      <c r="B57" s="56"/>
    </row>
  </sheetData>
  <mergeCells count="151">
    <mergeCell ref="F1:G1"/>
    <mergeCell ref="F4:F5"/>
    <mergeCell ref="G4:G5"/>
    <mergeCell ref="H4:H5"/>
    <mergeCell ref="I4:I5"/>
    <mergeCell ref="J4:J5"/>
    <mergeCell ref="K4:K5"/>
    <mergeCell ref="Q4:Q5"/>
    <mergeCell ref="R3:V3"/>
    <mergeCell ref="R4:R5"/>
    <mergeCell ref="S4:S5"/>
    <mergeCell ref="T4:T5"/>
    <mergeCell ref="U4:U5"/>
    <mergeCell ref="V4:V5"/>
    <mergeCell ref="L4:L5"/>
    <mergeCell ref="H3:L3"/>
    <mergeCell ref="M4:M5"/>
    <mergeCell ref="N4:N5"/>
    <mergeCell ref="O4:O5"/>
    <mergeCell ref="P4:P5"/>
    <mergeCell ref="M3:Q3"/>
    <mergeCell ref="W22:AA22"/>
    <mergeCell ref="AB22:AF22"/>
    <mergeCell ref="AG22:AK22"/>
    <mergeCell ref="AG3:AK3"/>
    <mergeCell ref="AG4:AG5"/>
    <mergeCell ref="AH4:AH5"/>
    <mergeCell ref="AI4:AI5"/>
    <mergeCell ref="AJ4:AJ5"/>
    <mergeCell ref="AK4:AK5"/>
    <mergeCell ref="AB3:AF3"/>
    <mergeCell ref="AB4:AB5"/>
    <mergeCell ref="AC4:AC5"/>
    <mergeCell ref="AD4:AD5"/>
    <mergeCell ref="AE4:AE5"/>
    <mergeCell ref="AF4:AF5"/>
    <mergeCell ref="W3:AA3"/>
    <mergeCell ref="W4:W5"/>
    <mergeCell ref="X4:X5"/>
    <mergeCell ref="Y4:Y5"/>
    <mergeCell ref="Z4:Z5"/>
    <mergeCell ref="AA4:AA5"/>
    <mergeCell ref="F23:F24"/>
    <mergeCell ref="G23:G24"/>
    <mergeCell ref="H23:H24"/>
    <mergeCell ref="I23:I24"/>
    <mergeCell ref="J23:J24"/>
    <mergeCell ref="K23:K24"/>
    <mergeCell ref="H22:L22"/>
    <mergeCell ref="M22:Q22"/>
    <mergeCell ref="R22:V22"/>
    <mergeCell ref="AB23:AB24"/>
    <mergeCell ref="AC23:AC24"/>
    <mergeCell ref="R23:R24"/>
    <mergeCell ref="S23:S24"/>
    <mergeCell ref="T23:T24"/>
    <mergeCell ref="U23:U24"/>
    <mergeCell ref="V23:V24"/>
    <mergeCell ref="W23:W24"/>
    <mergeCell ref="L23:L24"/>
    <mergeCell ref="M23:M24"/>
    <mergeCell ref="N23:N24"/>
    <mergeCell ref="O23:O24"/>
    <mergeCell ref="P23:P24"/>
    <mergeCell ref="Q23:Q24"/>
    <mergeCell ref="F42:F43"/>
    <mergeCell ref="G42:G43"/>
    <mergeCell ref="H42:H43"/>
    <mergeCell ref="I42:I43"/>
    <mergeCell ref="J42:J43"/>
    <mergeCell ref="K42:K43"/>
    <mergeCell ref="AJ23:AJ24"/>
    <mergeCell ref="AK23:AK24"/>
    <mergeCell ref="H41:L41"/>
    <mergeCell ref="M41:Q41"/>
    <mergeCell ref="R41:V41"/>
    <mergeCell ref="W41:AA41"/>
    <mergeCell ref="AB41:AF41"/>
    <mergeCell ref="AG41:AK41"/>
    <mergeCell ref="AD23:AD24"/>
    <mergeCell ref="AE23:AE24"/>
    <mergeCell ref="AF23:AF24"/>
    <mergeCell ref="AG23:AG24"/>
    <mergeCell ref="AH23:AH24"/>
    <mergeCell ref="AI23:AI24"/>
    <mergeCell ref="X23:X24"/>
    <mergeCell ref="Y23:Y24"/>
    <mergeCell ref="Z23:Z24"/>
    <mergeCell ref="AA23:AA24"/>
    <mergeCell ref="R42:R43"/>
    <mergeCell ref="S42:S43"/>
    <mergeCell ref="T42:T43"/>
    <mergeCell ref="U42:U43"/>
    <mergeCell ref="V42:V43"/>
    <mergeCell ref="W42:W43"/>
    <mergeCell ref="L42:L43"/>
    <mergeCell ref="M42:M43"/>
    <mergeCell ref="N42:N43"/>
    <mergeCell ref="O42:O43"/>
    <mergeCell ref="P42:P43"/>
    <mergeCell ref="Q42:Q43"/>
    <mergeCell ref="AJ42:AJ43"/>
    <mergeCell ref="AK42:AK43"/>
    <mergeCell ref="AD42:AD43"/>
    <mergeCell ref="AE42:AE43"/>
    <mergeCell ref="AF42:AF43"/>
    <mergeCell ref="AG42:AG43"/>
    <mergeCell ref="AH42:AH43"/>
    <mergeCell ref="AI42:AI43"/>
    <mergeCell ref="X42:X43"/>
    <mergeCell ref="Y42:Y43"/>
    <mergeCell ref="Z42:Z43"/>
    <mergeCell ref="AA42:AA43"/>
    <mergeCell ref="AB42:AB43"/>
    <mergeCell ref="AC42:AC43"/>
    <mergeCell ref="AL3:AP3"/>
    <mergeCell ref="AL4:AL5"/>
    <mergeCell ref="AM4:AM5"/>
    <mergeCell ref="AN4:AN5"/>
    <mergeCell ref="AO4:AO5"/>
    <mergeCell ref="AP4:AP5"/>
    <mergeCell ref="AL22:AP22"/>
    <mergeCell ref="AL23:AL24"/>
    <mergeCell ref="AM23:AM24"/>
    <mergeCell ref="AN23:AN24"/>
    <mergeCell ref="AO23:AO24"/>
    <mergeCell ref="AP23:AP24"/>
    <mergeCell ref="AL41:AP41"/>
    <mergeCell ref="AL42:AL43"/>
    <mergeCell ref="AM42:AM43"/>
    <mergeCell ref="AN42:AN43"/>
    <mergeCell ref="AO42:AO43"/>
    <mergeCell ref="AP42:AP43"/>
    <mergeCell ref="AQ3:AU3"/>
    <mergeCell ref="AQ4:AQ5"/>
    <mergeCell ref="AR4:AR5"/>
    <mergeCell ref="AS4:AS5"/>
    <mergeCell ref="AT4:AT5"/>
    <mergeCell ref="AU4:AU5"/>
    <mergeCell ref="AQ22:AU22"/>
    <mergeCell ref="AQ23:AQ24"/>
    <mergeCell ref="AR23:AR24"/>
    <mergeCell ref="AS23:AS24"/>
    <mergeCell ref="AT23:AT24"/>
    <mergeCell ref="AU23:AU24"/>
    <mergeCell ref="AQ41:AU41"/>
    <mergeCell ref="AQ42:AQ43"/>
    <mergeCell ref="AR42:AR43"/>
    <mergeCell ref="AS42:AS43"/>
    <mergeCell ref="AT42:AT43"/>
    <mergeCell ref="AU42:AU4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52"/>
  <sheetViews>
    <sheetView windowProtection="1" workbookViewId="0">
      <selection activeCell="Q35" sqref="Q35"/>
    </sheetView>
  </sheetViews>
  <sheetFormatPr baseColWidth="10" defaultRowHeight="12.75" x14ac:dyDescent="0.2"/>
  <cols>
    <col min="1" max="3" width="8.625" customWidth="1"/>
    <col min="4" max="4" width="10.5" customWidth="1"/>
    <col min="5" max="5" width="8.875" style="15" customWidth="1"/>
    <col min="6" max="10" width="11" style="4"/>
    <col min="11" max="12" width="11" style="15"/>
  </cols>
  <sheetData>
    <row r="1" spans="1:21" x14ac:dyDescent="0.2">
      <c r="B1" s="178" t="s">
        <v>60</v>
      </c>
      <c r="C1" s="177"/>
      <c r="D1" s="177"/>
      <c r="F1" s="176" t="s">
        <v>28</v>
      </c>
      <c r="G1" s="177"/>
      <c r="H1" s="177"/>
      <c r="I1" s="177"/>
      <c r="J1" s="177"/>
      <c r="M1" s="176" t="s">
        <v>29</v>
      </c>
      <c r="N1" s="176"/>
      <c r="O1" s="176"/>
      <c r="P1" s="176"/>
      <c r="Q1" s="176"/>
      <c r="R1" s="176"/>
      <c r="S1" s="176"/>
      <c r="T1" s="176"/>
      <c r="U1" s="176"/>
    </row>
    <row r="2" spans="1:21" x14ac:dyDescent="0.2">
      <c r="A2" s="5" t="s">
        <v>3</v>
      </c>
      <c r="B2" s="2" t="s">
        <v>8</v>
      </c>
      <c r="C2" s="2" t="s">
        <v>9</v>
      </c>
      <c r="D2" s="2" t="s">
        <v>11</v>
      </c>
      <c r="F2" s="16"/>
      <c r="G2" s="176" t="s">
        <v>26</v>
      </c>
      <c r="H2" s="176"/>
      <c r="I2" s="176"/>
      <c r="J2" s="8" t="s">
        <v>27</v>
      </c>
      <c r="M2" s="15"/>
      <c r="N2" s="15"/>
      <c r="O2" s="15"/>
      <c r="P2" s="15"/>
      <c r="Q2" s="15"/>
      <c r="R2" s="15"/>
      <c r="S2" s="15"/>
      <c r="T2" s="15"/>
      <c r="U2" s="15"/>
    </row>
    <row r="3" spans="1:21" x14ac:dyDescent="0.2">
      <c r="A3" s="1">
        <v>17</v>
      </c>
      <c r="B3" s="6">
        <v>0</v>
      </c>
      <c r="C3" s="6">
        <v>0</v>
      </c>
      <c r="D3" s="6">
        <v>0</v>
      </c>
      <c r="F3" s="9" t="s">
        <v>3</v>
      </c>
      <c r="G3" s="10" t="s">
        <v>8</v>
      </c>
      <c r="H3" s="10" t="s">
        <v>9</v>
      </c>
      <c r="I3" s="9" t="s">
        <v>11</v>
      </c>
      <c r="J3" s="10" t="s">
        <v>8</v>
      </c>
      <c r="M3" s="10" t="s">
        <v>10</v>
      </c>
      <c r="N3" s="10">
        <v>58</v>
      </c>
      <c r="O3" s="10">
        <v>59</v>
      </c>
      <c r="P3" s="10">
        <v>60</v>
      </c>
      <c r="Q3" s="10">
        <v>61</v>
      </c>
      <c r="R3" s="10">
        <v>62</v>
      </c>
      <c r="S3" s="10">
        <v>63</v>
      </c>
      <c r="T3" s="10">
        <v>64</v>
      </c>
      <c r="U3" s="10">
        <v>65</v>
      </c>
    </row>
    <row r="4" spans="1:21" x14ac:dyDescent="0.2">
      <c r="A4" s="1">
        <v>24</v>
      </c>
      <c r="B4" s="6">
        <v>0</v>
      </c>
      <c r="C4" s="6">
        <v>0</v>
      </c>
      <c r="D4" s="6">
        <v>0</v>
      </c>
      <c r="F4" s="11">
        <v>17</v>
      </c>
      <c r="G4" s="7">
        <v>1.4999999999999999E-2</v>
      </c>
      <c r="H4" s="7">
        <v>1.4999999999999999E-2</v>
      </c>
      <c r="I4" s="12">
        <v>1.4999999999999999E-2</v>
      </c>
      <c r="J4" s="7">
        <v>0.02</v>
      </c>
      <c r="M4" s="11">
        <v>1952</v>
      </c>
      <c r="N4" s="4"/>
      <c r="O4" s="4"/>
      <c r="P4" s="13"/>
      <c r="Q4" s="13"/>
      <c r="R4" s="13"/>
      <c r="S4" s="13"/>
      <c r="T4" s="13">
        <v>6.2E-2</v>
      </c>
      <c r="U4" s="13">
        <v>6.2199999999999998E-2</v>
      </c>
    </row>
    <row r="5" spans="1:21" x14ac:dyDescent="0.2">
      <c r="A5" s="1">
        <v>25</v>
      </c>
      <c r="B5" s="3">
        <v>0.105</v>
      </c>
      <c r="C5" s="3">
        <v>0.105</v>
      </c>
      <c r="D5" s="3">
        <v>0.11</v>
      </c>
      <c r="F5" s="11">
        <f>1+F4</f>
        <v>18</v>
      </c>
      <c r="G5" s="7">
        <f>G4</f>
        <v>1.4999999999999999E-2</v>
      </c>
      <c r="H5" s="7">
        <f>H4</f>
        <v>1.4999999999999999E-2</v>
      </c>
      <c r="I5" s="12">
        <f t="shared" ref="I5:J20" si="0">I4</f>
        <v>1.4999999999999999E-2</v>
      </c>
      <c r="J5" s="7">
        <f t="shared" si="0"/>
        <v>0.02</v>
      </c>
      <c r="M5" s="11">
        <f>1+M4</f>
        <v>1953</v>
      </c>
      <c r="N5" s="4"/>
      <c r="O5" s="4"/>
      <c r="P5" s="13"/>
      <c r="Q5" s="13"/>
      <c r="R5" s="13"/>
      <c r="S5" s="13">
        <v>0.06</v>
      </c>
      <c r="T5" s="13">
        <v>6.0199999999999997E-2</v>
      </c>
      <c r="U5" s="13">
        <v>6.0400000000000002E-2</v>
      </c>
    </row>
    <row r="6" spans="1:21" x14ac:dyDescent="0.2">
      <c r="A6" s="1">
        <v>34</v>
      </c>
      <c r="B6" s="3">
        <v>0.105</v>
      </c>
      <c r="C6" s="3">
        <v>0.105</v>
      </c>
      <c r="D6" s="3">
        <v>0.11</v>
      </c>
      <c r="F6" s="11">
        <f t="shared" ref="F6:F52" si="1">1+F5</f>
        <v>19</v>
      </c>
      <c r="G6" s="7">
        <f t="shared" ref="G6:J21" si="2">G5</f>
        <v>1.4999999999999999E-2</v>
      </c>
      <c r="H6" s="7">
        <f t="shared" si="2"/>
        <v>1.4999999999999999E-2</v>
      </c>
      <c r="I6" s="12">
        <f t="shared" si="0"/>
        <v>1.4999999999999999E-2</v>
      </c>
      <c r="J6" s="7">
        <f t="shared" si="0"/>
        <v>0.02</v>
      </c>
      <c r="M6" s="11">
        <f t="shared" ref="M6:M16" si="3">1+M5</f>
        <v>1954</v>
      </c>
      <c r="N6" s="4"/>
      <c r="O6" s="4"/>
      <c r="P6" s="13"/>
      <c r="Q6" s="13"/>
      <c r="R6" s="13">
        <v>5.8000000000000003E-2</v>
      </c>
      <c r="S6" s="13">
        <v>5.8200000000000002E-2</v>
      </c>
      <c r="T6" s="13">
        <v>5.8400000000000001E-2</v>
      </c>
      <c r="U6" s="13">
        <v>5.8599999999999999E-2</v>
      </c>
    </row>
    <row r="7" spans="1:21" x14ac:dyDescent="0.2">
      <c r="A7" s="1">
        <v>35</v>
      </c>
      <c r="B7" s="3">
        <v>0.155</v>
      </c>
      <c r="C7" s="3">
        <v>0.16500000000000001</v>
      </c>
      <c r="D7" s="3">
        <v>0.17</v>
      </c>
      <c r="F7" s="11">
        <f t="shared" si="1"/>
        <v>20</v>
      </c>
      <c r="G7" s="7">
        <f t="shared" si="2"/>
        <v>1.4999999999999999E-2</v>
      </c>
      <c r="H7" s="7">
        <f t="shared" si="2"/>
        <v>1.4999999999999999E-2</v>
      </c>
      <c r="I7" s="12">
        <f t="shared" si="0"/>
        <v>1.4999999999999999E-2</v>
      </c>
      <c r="J7" s="7">
        <f t="shared" si="0"/>
        <v>0.02</v>
      </c>
      <c r="M7" s="11">
        <f t="shared" si="3"/>
        <v>1955</v>
      </c>
      <c r="N7" s="4"/>
      <c r="O7" s="4"/>
      <c r="P7" s="13"/>
      <c r="Q7" s="13">
        <v>5.6000000000000001E-2</v>
      </c>
      <c r="R7" s="13">
        <v>5.62E-2</v>
      </c>
      <c r="S7" s="13">
        <v>5.6399999999999999E-2</v>
      </c>
      <c r="T7" s="13">
        <v>5.6599999999999998E-2</v>
      </c>
      <c r="U7" s="13">
        <v>5.6800000000000003E-2</v>
      </c>
    </row>
    <row r="8" spans="1:21" x14ac:dyDescent="0.2">
      <c r="A8" s="1">
        <v>39</v>
      </c>
      <c r="B8" s="3">
        <v>0.155</v>
      </c>
      <c r="C8" s="3">
        <v>0.16500000000000001</v>
      </c>
      <c r="D8" s="3">
        <v>0.17</v>
      </c>
      <c r="F8" s="11">
        <f t="shared" si="1"/>
        <v>21</v>
      </c>
      <c r="G8" s="7">
        <f t="shared" si="2"/>
        <v>1.4999999999999999E-2</v>
      </c>
      <c r="H8" s="7">
        <f t="shared" si="2"/>
        <v>1.4999999999999999E-2</v>
      </c>
      <c r="I8" s="12">
        <f t="shared" si="0"/>
        <v>1.4999999999999999E-2</v>
      </c>
      <c r="J8" s="7">
        <f t="shared" si="0"/>
        <v>0.02</v>
      </c>
      <c r="M8" s="11">
        <f t="shared" si="3"/>
        <v>1956</v>
      </c>
      <c r="N8" s="4"/>
      <c r="O8" s="4"/>
      <c r="P8" s="13">
        <v>5.3999999999999999E-2</v>
      </c>
      <c r="Q8" s="13">
        <v>5.4199999999999998E-2</v>
      </c>
      <c r="R8" s="13">
        <v>5.4399999999999997E-2</v>
      </c>
      <c r="S8" s="13">
        <v>5.4600000000000003E-2</v>
      </c>
      <c r="T8" s="13">
        <v>5.4800000000000001E-2</v>
      </c>
      <c r="U8" s="13">
        <v>5.5E-2</v>
      </c>
    </row>
    <row r="9" spans="1:21" x14ac:dyDescent="0.2">
      <c r="A9" s="1">
        <v>40</v>
      </c>
      <c r="B9" s="3">
        <v>0.16500000000000001</v>
      </c>
      <c r="C9" s="3">
        <v>0.17499999999999999</v>
      </c>
      <c r="D9" s="3">
        <v>0.19</v>
      </c>
      <c r="F9" s="11">
        <f t="shared" si="1"/>
        <v>22</v>
      </c>
      <c r="G9" s="7">
        <f t="shared" si="2"/>
        <v>1.4999999999999999E-2</v>
      </c>
      <c r="H9" s="7">
        <f t="shared" si="2"/>
        <v>1.4999999999999999E-2</v>
      </c>
      <c r="I9" s="12">
        <f t="shared" si="0"/>
        <v>1.4999999999999999E-2</v>
      </c>
      <c r="J9" s="7">
        <f t="shared" si="0"/>
        <v>0.02</v>
      </c>
      <c r="M9" s="11">
        <f t="shared" si="3"/>
        <v>1957</v>
      </c>
      <c r="N9" s="4"/>
      <c r="O9" s="13">
        <v>5.1999999999999998E-2</v>
      </c>
      <c r="P9" s="13">
        <v>5.2200000000000003E-2</v>
      </c>
      <c r="Q9" s="13">
        <v>5.2400000000000002E-2</v>
      </c>
      <c r="R9" s="13">
        <v>5.2600000000000001E-2</v>
      </c>
      <c r="S9" s="13">
        <v>5.28E-2</v>
      </c>
      <c r="T9" s="13">
        <v>5.2999999999999999E-2</v>
      </c>
      <c r="U9" s="13">
        <v>5.3199999999999997E-2</v>
      </c>
    </row>
    <row r="10" spans="1:21" x14ac:dyDescent="0.2">
      <c r="A10" s="1">
        <v>44</v>
      </c>
      <c r="B10" s="3">
        <v>0.16500000000000001</v>
      </c>
      <c r="C10" s="3">
        <v>0.17499999999999999</v>
      </c>
      <c r="D10" s="3">
        <v>0.19</v>
      </c>
      <c r="F10" s="11">
        <f t="shared" si="1"/>
        <v>23</v>
      </c>
      <c r="G10" s="7">
        <f t="shared" si="2"/>
        <v>1.4999999999999999E-2</v>
      </c>
      <c r="H10" s="7">
        <f t="shared" si="2"/>
        <v>1.4999999999999999E-2</v>
      </c>
      <c r="I10" s="12">
        <f t="shared" si="0"/>
        <v>1.4999999999999999E-2</v>
      </c>
      <c r="J10" s="7">
        <f t="shared" si="0"/>
        <v>0.02</v>
      </c>
      <c r="M10" s="11">
        <f t="shared" si="3"/>
        <v>1958</v>
      </c>
      <c r="N10" s="13">
        <v>0.05</v>
      </c>
      <c r="O10" s="13">
        <v>5.0360000000000002E-2</v>
      </c>
      <c r="P10" s="13">
        <v>5.0720000000000001E-2</v>
      </c>
      <c r="Q10" s="13">
        <v>5.1020000000000003E-2</v>
      </c>
      <c r="R10" s="13">
        <v>5.1119999999999999E-2</v>
      </c>
      <c r="S10" s="13">
        <v>5.1270000000000003E-2</v>
      </c>
      <c r="T10" s="13">
        <v>5.142E-2</v>
      </c>
      <c r="U10" s="13">
        <v>5.16E-2</v>
      </c>
    </row>
    <row r="11" spans="1:21" x14ac:dyDescent="0.2">
      <c r="A11" s="1">
        <v>45</v>
      </c>
      <c r="B11" s="3">
        <v>0.20499999999999999</v>
      </c>
      <c r="C11" s="3">
        <v>0.22500000000000001</v>
      </c>
      <c r="D11" s="3">
        <v>0.23499999999999999</v>
      </c>
      <c r="F11" s="11">
        <f t="shared" si="1"/>
        <v>24</v>
      </c>
      <c r="G11" s="7">
        <f t="shared" si="2"/>
        <v>1.4999999999999999E-2</v>
      </c>
      <c r="H11" s="7">
        <f t="shared" si="2"/>
        <v>1.4999999999999999E-2</v>
      </c>
      <c r="I11" s="12">
        <f t="shared" si="0"/>
        <v>1.4999999999999999E-2</v>
      </c>
      <c r="J11" s="7">
        <f t="shared" si="0"/>
        <v>0.02</v>
      </c>
      <c r="M11" s="11">
        <f t="shared" si="3"/>
        <v>1959</v>
      </c>
      <c r="N11" s="13">
        <v>4.9390000000000003E-2</v>
      </c>
      <c r="O11" s="13">
        <v>4.9630000000000001E-2</v>
      </c>
      <c r="P11" s="13">
        <v>4.9869999999999998E-2</v>
      </c>
      <c r="Q11" s="13">
        <v>4.99E-2</v>
      </c>
      <c r="R11" s="13">
        <v>4.9930000000000002E-2</v>
      </c>
      <c r="S11" s="13">
        <v>4.9959999999999997E-2</v>
      </c>
      <c r="T11" s="13">
        <v>4.9979999999999997E-2</v>
      </c>
      <c r="U11" s="13">
        <v>0.05</v>
      </c>
    </row>
    <row r="12" spans="1:21" x14ac:dyDescent="0.2">
      <c r="A12" s="1">
        <v>49</v>
      </c>
      <c r="B12" s="3">
        <v>0.20499999999999999</v>
      </c>
      <c r="C12" s="3">
        <v>0.22500000000000001</v>
      </c>
      <c r="D12" s="3">
        <v>0.23499999999999999</v>
      </c>
      <c r="F12" s="11">
        <f t="shared" si="1"/>
        <v>25</v>
      </c>
      <c r="G12" s="7">
        <v>6.5000000000000002E-2</v>
      </c>
      <c r="H12" s="7">
        <v>6.5000000000000002E-2</v>
      </c>
      <c r="I12" s="12">
        <v>7.0000000000000007E-2</v>
      </c>
      <c r="J12" s="7">
        <v>7.4999999999999997E-2</v>
      </c>
      <c r="M12" s="11">
        <f t="shared" si="3"/>
        <v>1960</v>
      </c>
      <c r="N12" s="13">
        <v>4.8430000000000001E-2</v>
      </c>
      <c r="O12" s="13">
        <v>4.861E-2</v>
      </c>
      <c r="P12" s="13">
        <v>4.87E-2</v>
      </c>
      <c r="Q12" s="13">
        <v>4.8820000000000002E-2</v>
      </c>
      <c r="R12" s="13">
        <v>4.8939999999999997E-2</v>
      </c>
      <c r="S12" s="13">
        <v>4.9119999999999997E-2</v>
      </c>
      <c r="T12" s="13">
        <v>4.9299999999999997E-2</v>
      </c>
      <c r="U12" s="13">
        <v>0.05</v>
      </c>
    </row>
    <row r="13" spans="1:21" x14ac:dyDescent="0.2">
      <c r="A13" s="1">
        <v>50</v>
      </c>
      <c r="B13" s="3">
        <v>0.20499999999999999</v>
      </c>
      <c r="C13" s="3">
        <v>0.23499999999999999</v>
      </c>
      <c r="D13" s="3">
        <v>0.245</v>
      </c>
      <c r="F13" s="11">
        <f t="shared" si="1"/>
        <v>26</v>
      </c>
      <c r="G13" s="7">
        <f t="shared" si="2"/>
        <v>6.5000000000000002E-2</v>
      </c>
      <c r="H13" s="7">
        <f t="shared" si="2"/>
        <v>6.5000000000000002E-2</v>
      </c>
      <c r="I13" s="12">
        <f t="shared" si="0"/>
        <v>7.0000000000000007E-2</v>
      </c>
      <c r="J13" s="7">
        <f t="shared" si="0"/>
        <v>7.4999999999999997E-2</v>
      </c>
      <c r="M13" s="11">
        <f t="shared" si="3"/>
        <v>1961</v>
      </c>
      <c r="N13" s="13">
        <v>4.7469999999999998E-2</v>
      </c>
      <c r="O13" s="13">
        <v>4.7570000000000001E-2</v>
      </c>
      <c r="P13" s="13">
        <v>4.7690000000000003E-2</v>
      </c>
      <c r="Q13" s="13">
        <v>4.7840000000000001E-2</v>
      </c>
      <c r="R13" s="13">
        <v>4.802E-2</v>
      </c>
      <c r="S13" s="13">
        <v>4.82E-2</v>
      </c>
      <c r="T13" s="13">
        <v>4.8619999999999997E-2</v>
      </c>
      <c r="U13" s="13">
        <v>0.05</v>
      </c>
    </row>
    <row r="14" spans="1:21" x14ac:dyDescent="0.2">
      <c r="A14" s="1">
        <v>54</v>
      </c>
      <c r="B14" s="3">
        <v>0.20499999999999999</v>
      </c>
      <c r="C14" s="3">
        <v>0.23499999999999999</v>
      </c>
      <c r="D14" s="3">
        <v>0.245</v>
      </c>
      <c r="F14" s="11">
        <f t="shared" si="1"/>
        <v>27</v>
      </c>
      <c r="G14" s="7">
        <f t="shared" si="2"/>
        <v>6.5000000000000002E-2</v>
      </c>
      <c r="H14" s="7">
        <f t="shared" si="2"/>
        <v>6.5000000000000002E-2</v>
      </c>
      <c r="I14" s="12">
        <f t="shared" si="0"/>
        <v>7.0000000000000007E-2</v>
      </c>
      <c r="J14" s="7">
        <f t="shared" si="0"/>
        <v>7.4999999999999997E-2</v>
      </c>
      <c r="M14" s="11">
        <f t="shared" si="3"/>
        <v>1962</v>
      </c>
      <c r="N14" s="13">
        <v>4.5670000000000002E-2</v>
      </c>
      <c r="O14" s="13">
        <v>4.58E-2</v>
      </c>
      <c r="P14" s="13">
        <v>4.5999999999999999E-2</v>
      </c>
      <c r="Q14" s="13">
        <v>4.6300000000000001E-2</v>
      </c>
      <c r="R14" s="13">
        <v>4.6699999999999998E-2</v>
      </c>
      <c r="S14" s="13">
        <v>4.7300000000000002E-2</v>
      </c>
      <c r="T14" s="13">
        <v>4.8619999999999997E-2</v>
      </c>
      <c r="U14" s="13">
        <v>0.05</v>
      </c>
    </row>
    <row r="15" spans="1:21" x14ac:dyDescent="0.2">
      <c r="A15" s="1">
        <v>55</v>
      </c>
      <c r="B15" s="3">
        <v>0.245</v>
      </c>
      <c r="C15" s="3">
        <v>0.27500000000000002</v>
      </c>
      <c r="D15" s="3">
        <v>0.32</v>
      </c>
      <c r="F15" s="11">
        <f t="shared" si="1"/>
        <v>28</v>
      </c>
      <c r="G15" s="7">
        <f t="shared" si="2"/>
        <v>6.5000000000000002E-2</v>
      </c>
      <c r="H15" s="7">
        <f t="shared" si="2"/>
        <v>6.5000000000000002E-2</v>
      </c>
      <c r="I15" s="12">
        <f t="shared" si="0"/>
        <v>7.0000000000000007E-2</v>
      </c>
      <c r="J15" s="7">
        <f t="shared" si="0"/>
        <v>7.4999999999999997E-2</v>
      </c>
      <c r="M15" s="11">
        <f t="shared" si="3"/>
        <v>1963</v>
      </c>
      <c r="N15" s="13">
        <v>4.367E-2</v>
      </c>
      <c r="O15" s="13">
        <v>4.3839999999999997E-2</v>
      </c>
      <c r="P15" s="13">
        <v>4.4240000000000002E-2</v>
      </c>
      <c r="Q15" s="13">
        <v>4.4839999999999998E-2</v>
      </c>
      <c r="R15" s="13">
        <v>4.6039999999999998E-2</v>
      </c>
      <c r="S15" s="13">
        <v>4.7300000000000002E-2</v>
      </c>
      <c r="T15" s="13">
        <v>4.8619999999999997E-2</v>
      </c>
      <c r="U15" s="13">
        <v>0.05</v>
      </c>
    </row>
    <row r="16" spans="1:21" x14ac:dyDescent="0.2">
      <c r="A16" s="1">
        <v>65</v>
      </c>
      <c r="B16" s="3">
        <v>0.245</v>
      </c>
      <c r="C16" s="3">
        <v>0.27500000000000002</v>
      </c>
      <c r="D16" s="3">
        <v>0.32</v>
      </c>
      <c r="F16" s="11">
        <f t="shared" si="1"/>
        <v>29</v>
      </c>
      <c r="G16" s="7">
        <f t="shared" si="2"/>
        <v>6.5000000000000002E-2</v>
      </c>
      <c r="H16" s="7">
        <f t="shared" si="2"/>
        <v>6.5000000000000002E-2</v>
      </c>
      <c r="I16" s="12">
        <f t="shared" si="0"/>
        <v>7.0000000000000007E-2</v>
      </c>
      <c r="J16" s="7">
        <f t="shared" si="0"/>
        <v>7.4999999999999997E-2</v>
      </c>
      <c r="M16" s="11">
        <f t="shared" si="3"/>
        <v>1964</v>
      </c>
      <c r="N16" s="13">
        <v>4.1599999999999998E-2</v>
      </c>
      <c r="O16" s="13">
        <v>4.2619999999999998E-2</v>
      </c>
      <c r="P16" s="13">
        <v>4.3700000000000003E-2</v>
      </c>
      <c r="Q16" s="13">
        <v>4.4839999999999998E-2</v>
      </c>
      <c r="R16" s="13">
        <v>4.6039999999999998E-2</v>
      </c>
      <c r="S16" s="13">
        <v>4.7300000000000002E-2</v>
      </c>
      <c r="T16" s="13">
        <v>4.8619999999999997E-2</v>
      </c>
      <c r="U16" s="13">
        <v>0.05</v>
      </c>
    </row>
    <row r="17" spans="1:21" x14ac:dyDescent="0.2">
      <c r="A17" s="1"/>
      <c r="B17" s="1"/>
      <c r="C17" s="1"/>
      <c r="D17" s="3"/>
      <c r="F17" s="11">
        <f t="shared" si="1"/>
        <v>30</v>
      </c>
      <c r="G17" s="7">
        <f t="shared" si="2"/>
        <v>6.5000000000000002E-2</v>
      </c>
      <c r="H17" s="7">
        <f t="shared" si="2"/>
        <v>6.5000000000000002E-2</v>
      </c>
      <c r="I17" s="12">
        <f t="shared" si="0"/>
        <v>7.0000000000000007E-2</v>
      </c>
      <c r="J17" s="7">
        <f t="shared" si="0"/>
        <v>7.4999999999999997E-2</v>
      </c>
      <c r="M17" s="17">
        <v>1999</v>
      </c>
      <c r="N17" s="53">
        <v>4.1599999999999998E-2</v>
      </c>
      <c r="O17" s="18">
        <v>4.2619999999999998E-2</v>
      </c>
      <c r="P17" s="18">
        <v>4.3700000000000003E-2</v>
      </c>
      <c r="Q17" s="18">
        <v>4.4839999999999998E-2</v>
      </c>
      <c r="R17" s="18">
        <v>4.6039999999999998E-2</v>
      </c>
      <c r="S17" s="18">
        <v>4.7300000000000002E-2</v>
      </c>
      <c r="T17" s="18">
        <v>4.8619999999999997E-2</v>
      </c>
      <c r="U17" s="18">
        <v>0.05</v>
      </c>
    </row>
    <row r="18" spans="1:21" x14ac:dyDescent="0.2">
      <c r="A18" s="1"/>
      <c r="B18" s="1"/>
      <c r="C18" s="1"/>
      <c r="D18" s="3"/>
      <c r="F18" s="11">
        <f t="shared" si="1"/>
        <v>31</v>
      </c>
      <c r="G18" s="7">
        <f t="shared" si="2"/>
        <v>6.5000000000000002E-2</v>
      </c>
      <c r="H18" s="7">
        <f t="shared" si="2"/>
        <v>6.5000000000000002E-2</v>
      </c>
      <c r="I18" s="12">
        <f t="shared" si="0"/>
        <v>7.0000000000000007E-2</v>
      </c>
      <c r="J18" s="7">
        <f t="shared" si="0"/>
        <v>7.4999999999999997E-2</v>
      </c>
      <c r="M18" s="4"/>
      <c r="N18" s="4"/>
      <c r="O18" s="4"/>
    </row>
    <row r="19" spans="1:21" x14ac:dyDescent="0.2">
      <c r="F19" s="11">
        <f t="shared" si="1"/>
        <v>32</v>
      </c>
      <c r="G19" s="7">
        <f t="shared" si="2"/>
        <v>6.5000000000000002E-2</v>
      </c>
      <c r="H19" s="7">
        <f t="shared" si="2"/>
        <v>6.5000000000000002E-2</v>
      </c>
      <c r="I19" s="12">
        <f t="shared" si="0"/>
        <v>7.0000000000000007E-2</v>
      </c>
      <c r="J19" s="7">
        <f t="shared" si="0"/>
        <v>7.4999999999999997E-2</v>
      </c>
      <c r="M19" s="4"/>
      <c r="N19" s="4"/>
      <c r="O19" s="4"/>
      <c r="P19" s="13"/>
      <c r="Q19" s="13"/>
      <c r="R19" s="13"/>
      <c r="S19" s="13"/>
      <c r="T19" s="13"/>
      <c r="U19" s="13"/>
    </row>
    <row r="20" spans="1:21" x14ac:dyDescent="0.2">
      <c r="F20" s="11">
        <f t="shared" si="1"/>
        <v>33</v>
      </c>
      <c r="G20" s="7">
        <f t="shared" si="2"/>
        <v>6.5000000000000002E-2</v>
      </c>
      <c r="H20" s="7">
        <f t="shared" si="2"/>
        <v>6.5000000000000002E-2</v>
      </c>
      <c r="I20" s="12">
        <f t="shared" si="0"/>
        <v>7.0000000000000007E-2</v>
      </c>
      <c r="J20" s="7">
        <f t="shared" si="0"/>
        <v>7.4999999999999997E-2</v>
      </c>
      <c r="M20" s="4"/>
      <c r="N20" s="4"/>
      <c r="O20" s="4"/>
    </row>
    <row r="21" spans="1:21" x14ac:dyDescent="0.2">
      <c r="F21" s="11">
        <f t="shared" si="1"/>
        <v>34</v>
      </c>
      <c r="G21" s="7">
        <f t="shared" si="2"/>
        <v>6.5000000000000002E-2</v>
      </c>
      <c r="H21" s="7">
        <f t="shared" si="2"/>
        <v>6.5000000000000002E-2</v>
      </c>
      <c r="I21" s="12">
        <f t="shared" si="2"/>
        <v>7.0000000000000007E-2</v>
      </c>
      <c r="J21" s="7">
        <f t="shared" si="2"/>
        <v>7.4999999999999997E-2</v>
      </c>
      <c r="M21" s="176" t="s">
        <v>30</v>
      </c>
      <c r="N21" s="176"/>
      <c r="O21" s="176"/>
      <c r="P21" s="178"/>
      <c r="Q21" s="178"/>
      <c r="R21" s="178"/>
      <c r="S21" s="178"/>
      <c r="T21" s="178"/>
    </row>
    <row r="22" spans="1:21" x14ac:dyDescent="0.2">
      <c r="F22" s="11">
        <f t="shared" si="1"/>
        <v>35</v>
      </c>
      <c r="G22" s="7">
        <v>8.5000000000000006E-2</v>
      </c>
      <c r="H22" s="7">
        <v>9.5000000000000001E-2</v>
      </c>
      <c r="I22" s="12">
        <v>0.1</v>
      </c>
      <c r="J22" s="7">
        <v>0.105</v>
      </c>
      <c r="M22" s="15"/>
      <c r="N22" s="15"/>
      <c r="O22" s="15"/>
      <c r="P22" s="15"/>
      <c r="Q22" s="15"/>
      <c r="R22" s="15"/>
      <c r="S22" s="15"/>
      <c r="T22" s="15"/>
      <c r="U22" s="15"/>
    </row>
    <row r="23" spans="1:21" x14ac:dyDescent="0.2">
      <c r="F23" s="11">
        <f t="shared" si="1"/>
        <v>36</v>
      </c>
      <c r="G23" s="7">
        <f t="shared" ref="G23:J38" si="4">G22</f>
        <v>8.5000000000000006E-2</v>
      </c>
      <c r="H23" s="7">
        <f t="shared" si="4"/>
        <v>9.5000000000000001E-2</v>
      </c>
      <c r="I23" s="12">
        <f t="shared" si="4"/>
        <v>0.1</v>
      </c>
      <c r="J23" s="7">
        <f t="shared" si="4"/>
        <v>0.105</v>
      </c>
      <c r="M23" s="10" t="s">
        <v>10</v>
      </c>
      <c r="N23" s="10">
        <v>58</v>
      </c>
      <c r="O23" s="10">
        <v>59</v>
      </c>
      <c r="P23" s="10">
        <v>60</v>
      </c>
      <c r="Q23" s="10">
        <v>61</v>
      </c>
      <c r="R23" s="10">
        <v>62</v>
      </c>
      <c r="S23" s="10">
        <v>63</v>
      </c>
      <c r="T23" s="10">
        <v>64</v>
      </c>
      <c r="U23" s="10">
        <v>65</v>
      </c>
    </row>
    <row r="24" spans="1:21" x14ac:dyDescent="0.2">
      <c r="A24" s="4"/>
      <c r="B24" s="7"/>
      <c r="F24" s="11">
        <f t="shared" si="1"/>
        <v>37</v>
      </c>
      <c r="G24" s="7">
        <f t="shared" si="4"/>
        <v>8.5000000000000006E-2</v>
      </c>
      <c r="H24" s="7">
        <f t="shared" si="4"/>
        <v>9.5000000000000001E-2</v>
      </c>
      <c r="I24" s="12">
        <f t="shared" si="4"/>
        <v>0.1</v>
      </c>
      <c r="J24" s="7">
        <f t="shared" si="4"/>
        <v>0.105</v>
      </c>
      <c r="M24" s="11">
        <v>1953</v>
      </c>
      <c r="N24" s="4"/>
      <c r="O24" s="4"/>
      <c r="P24" s="13"/>
      <c r="Q24" s="13"/>
      <c r="R24" s="13"/>
      <c r="S24" s="13">
        <v>6.2E-2</v>
      </c>
      <c r="T24" s="13">
        <v>6.2199999999999998E-2</v>
      </c>
      <c r="U24" s="13">
        <v>6.4119999999999996E-2</v>
      </c>
    </row>
    <row r="25" spans="1:21" x14ac:dyDescent="0.2">
      <c r="A25" s="4"/>
      <c r="B25" s="7"/>
      <c r="F25" s="11">
        <f t="shared" si="1"/>
        <v>38</v>
      </c>
      <c r="G25" s="7">
        <f t="shared" si="4"/>
        <v>8.5000000000000006E-2</v>
      </c>
      <c r="H25" s="7">
        <f t="shared" si="4"/>
        <v>9.5000000000000001E-2</v>
      </c>
      <c r="I25" s="12">
        <f t="shared" si="4"/>
        <v>0.1</v>
      </c>
      <c r="J25" s="7">
        <f t="shared" si="4"/>
        <v>0.105</v>
      </c>
      <c r="M25" s="11">
        <f>1+M24</f>
        <v>1954</v>
      </c>
      <c r="N25" s="4"/>
      <c r="O25" s="4"/>
      <c r="P25" s="13"/>
      <c r="Q25" s="13"/>
      <c r="R25" s="13">
        <v>0.06</v>
      </c>
      <c r="S25" s="13">
        <v>6.0199999999999997E-2</v>
      </c>
      <c r="T25" s="13">
        <v>6.0400000000000002E-2</v>
      </c>
      <c r="U25" s="13">
        <v>6.2199999999999998E-2</v>
      </c>
    </row>
    <row r="26" spans="1:21" x14ac:dyDescent="0.2">
      <c r="A26" s="4"/>
      <c r="B26" s="7"/>
      <c r="F26" s="11">
        <f t="shared" si="1"/>
        <v>39</v>
      </c>
      <c r="G26" s="7">
        <f t="shared" si="4"/>
        <v>8.5000000000000006E-2</v>
      </c>
      <c r="H26" s="7">
        <f t="shared" si="4"/>
        <v>9.5000000000000001E-2</v>
      </c>
      <c r="I26" s="12">
        <f t="shared" si="4"/>
        <v>0.1</v>
      </c>
      <c r="J26" s="7">
        <f t="shared" si="4"/>
        <v>0.105</v>
      </c>
      <c r="M26" s="11">
        <f t="shared" ref="M26:M36" si="5">1+M25</f>
        <v>1955</v>
      </c>
      <c r="N26" s="4"/>
      <c r="O26" s="4"/>
      <c r="P26" s="13"/>
      <c r="Q26" s="19">
        <v>5.8000000000000003E-2</v>
      </c>
      <c r="R26" s="19">
        <v>5.8200000000000002E-2</v>
      </c>
      <c r="S26" s="13">
        <v>5.8400000000000001E-2</v>
      </c>
      <c r="T26" s="13">
        <v>5.8599999999999999E-2</v>
      </c>
      <c r="U26" s="13">
        <v>6.028E-2</v>
      </c>
    </row>
    <row r="27" spans="1:21" x14ac:dyDescent="0.2">
      <c r="A27" s="14"/>
      <c r="B27" s="7"/>
      <c r="F27" s="11">
        <f t="shared" si="1"/>
        <v>40</v>
      </c>
      <c r="G27" s="7">
        <f t="shared" si="4"/>
        <v>8.5000000000000006E-2</v>
      </c>
      <c r="H27" s="7">
        <f t="shared" si="4"/>
        <v>9.5000000000000001E-2</v>
      </c>
      <c r="I27" s="12">
        <v>0.11</v>
      </c>
      <c r="J27" s="7">
        <v>0.115</v>
      </c>
      <c r="M27" s="11">
        <f t="shared" si="5"/>
        <v>1956</v>
      </c>
      <c r="N27" s="13"/>
      <c r="O27" s="13"/>
      <c r="P27" s="13">
        <v>5.6000000000000001E-2</v>
      </c>
      <c r="Q27" s="13">
        <v>5.62E-2</v>
      </c>
      <c r="R27" s="13">
        <v>5.6399999999999999E-2</v>
      </c>
      <c r="S27" s="13">
        <v>5.6599999999999998E-2</v>
      </c>
      <c r="T27" s="13">
        <v>5.6800000000000003E-2</v>
      </c>
      <c r="U27" s="13">
        <v>5.8360000000000002E-2</v>
      </c>
    </row>
    <row r="28" spans="1:21" x14ac:dyDescent="0.2">
      <c r="A28" s="14"/>
      <c r="B28" s="7"/>
      <c r="F28" s="11">
        <f t="shared" si="1"/>
        <v>41</v>
      </c>
      <c r="G28" s="7">
        <f t="shared" si="4"/>
        <v>8.5000000000000006E-2</v>
      </c>
      <c r="H28" s="7">
        <f t="shared" si="4"/>
        <v>9.5000000000000001E-2</v>
      </c>
      <c r="I28" s="12">
        <f t="shared" si="4"/>
        <v>0.11</v>
      </c>
      <c r="J28" s="7">
        <f t="shared" si="4"/>
        <v>0.115</v>
      </c>
      <c r="M28" s="11">
        <f t="shared" si="5"/>
        <v>1957</v>
      </c>
      <c r="N28" s="13"/>
      <c r="O28" s="13">
        <v>5.3999999999999999E-2</v>
      </c>
      <c r="P28" s="13">
        <v>5.4199999999999998E-2</v>
      </c>
      <c r="Q28" s="13">
        <v>5.4399999999999997E-2</v>
      </c>
      <c r="R28" s="13">
        <v>5.4600000000000003E-2</v>
      </c>
      <c r="S28" s="13">
        <v>5.4800000000000001E-2</v>
      </c>
      <c r="T28" s="13">
        <v>5.5E-2</v>
      </c>
      <c r="U28" s="13">
        <v>5.6559999999999999E-2</v>
      </c>
    </row>
    <row r="29" spans="1:21" x14ac:dyDescent="0.2">
      <c r="A29" s="14"/>
      <c r="B29" s="7"/>
      <c r="F29" s="11">
        <f t="shared" si="1"/>
        <v>42</v>
      </c>
      <c r="G29" s="7">
        <f t="shared" si="4"/>
        <v>8.5000000000000006E-2</v>
      </c>
      <c r="H29" s="7">
        <f t="shared" si="4"/>
        <v>9.5000000000000001E-2</v>
      </c>
      <c r="I29" s="12">
        <f t="shared" si="4"/>
        <v>0.11</v>
      </c>
      <c r="J29" s="7">
        <f t="shared" si="4"/>
        <v>0.115</v>
      </c>
      <c r="M29" s="11">
        <f t="shared" si="5"/>
        <v>1958</v>
      </c>
      <c r="N29" s="13">
        <v>5.1999999999999998E-2</v>
      </c>
      <c r="O29" s="13">
        <v>5.2200000000000003E-2</v>
      </c>
      <c r="P29" s="13">
        <v>5.2400000000000002E-2</v>
      </c>
      <c r="Q29" s="13">
        <v>5.2600000000000001E-2</v>
      </c>
      <c r="R29" s="13">
        <v>5.28E-2</v>
      </c>
      <c r="S29" s="13">
        <v>5.2999999999999999E-2</v>
      </c>
      <c r="T29" s="13">
        <v>5.3199999999999997E-2</v>
      </c>
      <c r="U29" s="13">
        <v>5.4640000000000001E-2</v>
      </c>
    </row>
    <row r="30" spans="1:21" x14ac:dyDescent="0.2">
      <c r="F30" s="11">
        <f t="shared" si="1"/>
        <v>43</v>
      </c>
      <c r="G30" s="7">
        <f t="shared" si="4"/>
        <v>8.5000000000000006E-2</v>
      </c>
      <c r="H30" s="7">
        <f t="shared" si="4"/>
        <v>9.5000000000000001E-2</v>
      </c>
      <c r="I30" s="12">
        <f t="shared" si="4"/>
        <v>0.11</v>
      </c>
      <c r="J30" s="7">
        <f t="shared" si="4"/>
        <v>0.115</v>
      </c>
      <c r="M30" s="11">
        <f t="shared" si="5"/>
        <v>1959</v>
      </c>
      <c r="N30" s="13">
        <v>5.0360000000000002E-2</v>
      </c>
      <c r="O30" s="13">
        <v>5.0720000000000001E-2</v>
      </c>
      <c r="P30" s="13">
        <v>5.1020000000000003E-2</v>
      </c>
      <c r="Q30" s="13">
        <v>5.1119999999999999E-2</v>
      </c>
      <c r="R30" s="13">
        <v>5.1270000000000003E-2</v>
      </c>
      <c r="S30" s="13">
        <v>5.142E-2</v>
      </c>
      <c r="T30" s="13">
        <v>5.16E-2</v>
      </c>
      <c r="U30" s="13">
        <v>5.3039999999999997E-2</v>
      </c>
    </row>
    <row r="31" spans="1:21" x14ac:dyDescent="0.2">
      <c r="F31" s="11">
        <f t="shared" si="1"/>
        <v>44</v>
      </c>
      <c r="G31" s="7">
        <f t="shared" si="4"/>
        <v>8.5000000000000006E-2</v>
      </c>
      <c r="H31" s="7">
        <f t="shared" si="4"/>
        <v>9.5000000000000001E-2</v>
      </c>
      <c r="I31" s="12">
        <f t="shared" si="4"/>
        <v>0.11</v>
      </c>
      <c r="J31" s="7">
        <f t="shared" si="4"/>
        <v>0.115</v>
      </c>
      <c r="M31" s="11">
        <f t="shared" si="5"/>
        <v>1960</v>
      </c>
      <c r="N31" s="13">
        <v>4.9630000000000001E-2</v>
      </c>
      <c r="O31" s="13">
        <v>4.9869999999999998E-2</v>
      </c>
      <c r="P31" s="13">
        <v>4.99E-2</v>
      </c>
      <c r="Q31" s="13">
        <v>4.9930000000000002E-2</v>
      </c>
      <c r="R31" s="13">
        <v>4.9959999999999997E-2</v>
      </c>
      <c r="S31" s="13">
        <v>4.9979999999999997E-2</v>
      </c>
      <c r="T31" s="13">
        <v>0.05</v>
      </c>
      <c r="U31" s="13">
        <v>5.144E-2</v>
      </c>
    </row>
    <row r="32" spans="1:21" x14ac:dyDescent="0.2">
      <c r="F32" s="11">
        <f t="shared" si="1"/>
        <v>45</v>
      </c>
      <c r="G32" s="7">
        <v>9.5000000000000001E-2</v>
      </c>
      <c r="H32" s="7">
        <v>0.115</v>
      </c>
      <c r="I32" s="12">
        <v>0.125</v>
      </c>
      <c r="J32" s="7">
        <v>0.14499999999999999</v>
      </c>
      <c r="M32" s="11">
        <f t="shared" si="5"/>
        <v>1961</v>
      </c>
      <c r="N32" s="13">
        <v>4.861E-2</v>
      </c>
      <c r="O32" s="13">
        <v>4.87E-2</v>
      </c>
      <c r="P32" s="13">
        <v>4.8820000000000002E-2</v>
      </c>
      <c r="Q32" s="13">
        <v>4.8939999999999997E-2</v>
      </c>
      <c r="R32" s="13">
        <v>4.9119999999999997E-2</v>
      </c>
      <c r="S32" s="13">
        <v>4.9299999999999997E-2</v>
      </c>
      <c r="T32" s="13">
        <v>0.05</v>
      </c>
      <c r="U32" s="13">
        <v>5.144E-2</v>
      </c>
    </row>
    <row r="33" spans="6:21" x14ac:dyDescent="0.2">
      <c r="F33" s="11">
        <f t="shared" si="1"/>
        <v>46</v>
      </c>
      <c r="G33" s="7">
        <f t="shared" si="4"/>
        <v>9.5000000000000001E-2</v>
      </c>
      <c r="H33" s="7">
        <f t="shared" si="4"/>
        <v>0.115</v>
      </c>
      <c r="I33" s="12">
        <f t="shared" si="4"/>
        <v>0.125</v>
      </c>
      <c r="J33" s="7">
        <f t="shared" si="4"/>
        <v>0.14499999999999999</v>
      </c>
      <c r="M33" s="11">
        <f t="shared" si="5"/>
        <v>1962</v>
      </c>
      <c r="N33" s="13">
        <v>4.7570000000000001E-2</v>
      </c>
      <c r="O33" s="13">
        <v>4.7690000000000003E-2</v>
      </c>
      <c r="P33" s="13">
        <v>4.7840000000000001E-2</v>
      </c>
      <c r="Q33" s="13">
        <v>4.802E-2</v>
      </c>
      <c r="R33" s="13">
        <v>4.82E-2</v>
      </c>
      <c r="S33" s="13">
        <v>4.8619999999999997E-2</v>
      </c>
      <c r="T33" s="13">
        <v>0.05</v>
      </c>
      <c r="U33" s="13">
        <v>5.144E-2</v>
      </c>
    </row>
    <row r="34" spans="6:21" x14ac:dyDescent="0.2">
      <c r="F34" s="11">
        <f t="shared" si="1"/>
        <v>47</v>
      </c>
      <c r="G34" s="7">
        <f t="shared" si="4"/>
        <v>9.5000000000000001E-2</v>
      </c>
      <c r="H34" s="7">
        <f t="shared" si="4"/>
        <v>0.115</v>
      </c>
      <c r="I34" s="12">
        <f t="shared" si="4"/>
        <v>0.125</v>
      </c>
      <c r="J34" s="7">
        <f t="shared" si="4"/>
        <v>0.14499999999999999</v>
      </c>
      <c r="M34" s="11">
        <f t="shared" si="5"/>
        <v>1963</v>
      </c>
      <c r="N34" s="13">
        <v>4.58E-2</v>
      </c>
      <c r="O34" s="13">
        <v>4.5999999999999999E-2</v>
      </c>
      <c r="P34" s="13">
        <v>4.6300000000000001E-2</v>
      </c>
      <c r="Q34" s="13">
        <v>4.4670000000000001E-2</v>
      </c>
      <c r="R34" s="13">
        <v>4.7300000000000002E-2</v>
      </c>
      <c r="S34" s="13">
        <v>4.8619999999999997E-2</v>
      </c>
      <c r="T34" s="13">
        <v>0.05</v>
      </c>
      <c r="U34" s="13">
        <v>5.144E-2</v>
      </c>
    </row>
    <row r="35" spans="6:21" x14ac:dyDescent="0.2">
      <c r="F35" s="11">
        <f t="shared" si="1"/>
        <v>48</v>
      </c>
      <c r="G35" s="7">
        <f t="shared" si="4"/>
        <v>9.5000000000000001E-2</v>
      </c>
      <c r="H35" s="7">
        <f t="shared" si="4"/>
        <v>0.115</v>
      </c>
      <c r="I35" s="12">
        <f t="shared" si="4"/>
        <v>0.125</v>
      </c>
      <c r="J35" s="7">
        <f t="shared" si="4"/>
        <v>0.14499999999999999</v>
      </c>
      <c r="M35" s="11">
        <f t="shared" si="5"/>
        <v>1964</v>
      </c>
      <c r="N35" s="13">
        <v>4.3839999999999997E-2</v>
      </c>
      <c r="O35" s="13">
        <v>4.4240000000000002E-2</v>
      </c>
      <c r="P35" s="13">
        <v>4.4839999999999998E-2</v>
      </c>
      <c r="Q35" s="13">
        <v>4.6039999999999998E-2</v>
      </c>
      <c r="R35" s="13">
        <v>4.7300000000000002E-2</v>
      </c>
      <c r="S35" s="13">
        <v>4.8619999999999997E-2</v>
      </c>
      <c r="T35" s="13">
        <v>0.05</v>
      </c>
      <c r="U35" s="13">
        <v>5.144E-2</v>
      </c>
    </row>
    <row r="36" spans="6:21" x14ac:dyDescent="0.2">
      <c r="F36" s="11">
        <f t="shared" si="1"/>
        <v>49</v>
      </c>
      <c r="G36" s="7">
        <f t="shared" si="4"/>
        <v>9.5000000000000001E-2</v>
      </c>
      <c r="H36" s="7">
        <f t="shared" si="4"/>
        <v>0.115</v>
      </c>
      <c r="I36" s="12">
        <f t="shared" si="4"/>
        <v>0.125</v>
      </c>
      <c r="J36" s="7">
        <f t="shared" si="4"/>
        <v>0.14499999999999999</v>
      </c>
      <c r="M36" s="11">
        <f t="shared" si="5"/>
        <v>1965</v>
      </c>
      <c r="N36" s="13">
        <v>4.2619999999999998E-2</v>
      </c>
      <c r="O36" s="13">
        <v>4.3700000000000003E-2</v>
      </c>
      <c r="P36" s="13">
        <v>4.4839999999999998E-2</v>
      </c>
      <c r="Q36" s="13">
        <v>4.6039999999999998E-2</v>
      </c>
      <c r="R36" s="13">
        <v>4.7300000000000002E-2</v>
      </c>
      <c r="S36" s="13">
        <v>4.8619999999999997E-2</v>
      </c>
      <c r="T36" s="13">
        <v>0.05</v>
      </c>
      <c r="U36" s="13">
        <v>5.144E-2</v>
      </c>
    </row>
    <row r="37" spans="6:21" x14ac:dyDescent="0.2">
      <c r="F37" s="11">
        <f t="shared" si="1"/>
        <v>50</v>
      </c>
      <c r="G37" s="7">
        <f t="shared" si="4"/>
        <v>9.5000000000000001E-2</v>
      </c>
      <c r="H37" s="7">
        <v>0.125</v>
      </c>
      <c r="I37" s="12">
        <v>0.13500000000000001</v>
      </c>
      <c r="J37" s="7">
        <f t="shared" si="4"/>
        <v>0.14499999999999999</v>
      </c>
      <c r="M37" s="17">
        <v>1999</v>
      </c>
      <c r="N37" s="53">
        <v>4.2619999999999998E-2</v>
      </c>
      <c r="O37" s="18">
        <v>4.3700000000000003E-2</v>
      </c>
      <c r="P37" s="18">
        <v>4.4839999999999998E-2</v>
      </c>
      <c r="Q37" s="18">
        <v>4.6039999999999998E-2</v>
      </c>
      <c r="R37" s="18">
        <v>4.7300000000000002E-2</v>
      </c>
      <c r="S37" s="18">
        <v>4.8619999999999997E-2</v>
      </c>
      <c r="T37" s="18">
        <v>0.05</v>
      </c>
      <c r="U37" s="18">
        <v>5.144E-2</v>
      </c>
    </row>
    <row r="38" spans="6:21" x14ac:dyDescent="0.2">
      <c r="F38" s="11">
        <f t="shared" si="1"/>
        <v>51</v>
      </c>
      <c r="G38" s="7">
        <f t="shared" si="4"/>
        <v>9.5000000000000001E-2</v>
      </c>
      <c r="H38" s="7">
        <f t="shared" si="4"/>
        <v>0.125</v>
      </c>
      <c r="I38" s="12">
        <f t="shared" si="4"/>
        <v>0.13500000000000001</v>
      </c>
      <c r="J38" s="7">
        <f t="shared" si="4"/>
        <v>0.14499999999999999</v>
      </c>
    </row>
    <row r="39" spans="6:21" x14ac:dyDescent="0.2">
      <c r="F39" s="11">
        <f t="shared" si="1"/>
        <v>52</v>
      </c>
      <c r="G39" s="7">
        <f t="shared" ref="G39:J52" si="6">G38</f>
        <v>9.5000000000000001E-2</v>
      </c>
      <c r="H39" s="7">
        <f t="shared" si="6"/>
        <v>0.125</v>
      </c>
      <c r="I39" s="12">
        <f t="shared" si="6"/>
        <v>0.13500000000000001</v>
      </c>
      <c r="J39" s="7">
        <f t="shared" si="6"/>
        <v>0.14499999999999999</v>
      </c>
    </row>
    <row r="40" spans="6:21" x14ac:dyDescent="0.2">
      <c r="F40" s="11">
        <f t="shared" si="1"/>
        <v>53</v>
      </c>
      <c r="G40" s="7">
        <f t="shared" si="6"/>
        <v>9.5000000000000001E-2</v>
      </c>
      <c r="H40" s="7">
        <f t="shared" si="6"/>
        <v>0.125</v>
      </c>
      <c r="I40" s="12">
        <f t="shared" si="6"/>
        <v>0.13500000000000001</v>
      </c>
      <c r="J40" s="7">
        <f t="shared" si="6"/>
        <v>0.14499999999999999</v>
      </c>
    </row>
    <row r="41" spans="6:21" x14ac:dyDescent="0.2">
      <c r="F41" s="11">
        <f t="shared" si="1"/>
        <v>54</v>
      </c>
      <c r="G41" s="7">
        <f t="shared" si="6"/>
        <v>9.5000000000000001E-2</v>
      </c>
      <c r="H41" s="7">
        <f t="shared" si="6"/>
        <v>0.125</v>
      </c>
      <c r="I41" s="12">
        <f t="shared" si="6"/>
        <v>0.13500000000000001</v>
      </c>
      <c r="J41" s="7">
        <f t="shared" si="6"/>
        <v>0.14499999999999999</v>
      </c>
    </row>
    <row r="42" spans="6:21" x14ac:dyDescent="0.2">
      <c r="F42" s="11">
        <f t="shared" si="1"/>
        <v>55</v>
      </c>
      <c r="G42" s="7">
        <f t="shared" si="6"/>
        <v>9.5000000000000001E-2</v>
      </c>
      <c r="H42" s="7">
        <f t="shared" si="6"/>
        <v>0.125</v>
      </c>
      <c r="I42" s="12">
        <f t="shared" si="6"/>
        <v>0.13500000000000001</v>
      </c>
      <c r="J42" s="7">
        <v>0.185</v>
      </c>
    </row>
    <row r="43" spans="6:21" x14ac:dyDescent="0.2">
      <c r="F43" s="11">
        <f t="shared" si="1"/>
        <v>56</v>
      </c>
      <c r="G43" s="7">
        <f t="shared" si="6"/>
        <v>9.5000000000000001E-2</v>
      </c>
      <c r="H43" s="7">
        <f t="shared" si="6"/>
        <v>0.125</v>
      </c>
      <c r="I43" s="12">
        <v>0.17</v>
      </c>
      <c r="J43" s="7">
        <f t="shared" si="6"/>
        <v>0.185</v>
      </c>
    </row>
    <row r="44" spans="6:21" x14ac:dyDescent="0.2">
      <c r="F44" s="11">
        <f t="shared" si="1"/>
        <v>57</v>
      </c>
      <c r="G44" s="7">
        <f t="shared" si="6"/>
        <v>9.5000000000000001E-2</v>
      </c>
      <c r="H44" s="7">
        <f t="shared" si="6"/>
        <v>0.125</v>
      </c>
      <c r="I44" s="12">
        <f t="shared" si="6"/>
        <v>0.17</v>
      </c>
      <c r="J44" s="7">
        <f t="shared" si="6"/>
        <v>0.185</v>
      </c>
    </row>
    <row r="45" spans="6:21" x14ac:dyDescent="0.2">
      <c r="F45" s="11">
        <f t="shared" si="1"/>
        <v>58</v>
      </c>
      <c r="G45" s="7">
        <f t="shared" si="6"/>
        <v>9.5000000000000001E-2</v>
      </c>
      <c r="H45" s="7">
        <f t="shared" si="6"/>
        <v>0.125</v>
      </c>
      <c r="I45" s="12">
        <f t="shared" si="6"/>
        <v>0.17</v>
      </c>
      <c r="J45" s="7">
        <f t="shared" si="6"/>
        <v>0.185</v>
      </c>
    </row>
    <row r="46" spans="6:21" x14ac:dyDescent="0.2">
      <c r="F46" s="11">
        <f t="shared" si="1"/>
        <v>59</v>
      </c>
      <c r="G46" s="7">
        <f t="shared" si="6"/>
        <v>9.5000000000000001E-2</v>
      </c>
      <c r="H46" s="7">
        <f t="shared" si="6"/>
        <v>0.125</v>
      </c>
      <c r="I46" s="12">
        <f t="shared" si="6"/>
        <v>0.17</v>
      </c>
      <c r="J46" s="7">
        <f t="shared" si="6"/>
        <v>0.185</v>
      </c>
    </row>
    <row r="47" spans="6:21" x14ac:dyDescent="0.2">
      <c r="F47" s="11">
        <f t="shared" si="1"/>
        <v>60</v>
      </c>
      <c r="G47" s="7">
        <f t="shared" si="6"/>
        <v>9.5000000000000001E-2</v>
      </c>
      <c r="H47" s="7">
        <f t="shared" si="6"/>
        <v>0.125</v>
      </c>
      <c r="I47" s="12">
        <f t="shared" si="6"/>
        <v>0.17</v>
      </c>
      <c r="J47" s="7">
        <f t="shared" si="6"/>
        <v>0.185</v>
      </c>
    </row>
    <row r="48" spans="6:21" x14ac:dyDescent="0.2">
      <c r="F48" s="11">
        <f t="shared" si="1"/>
        <v>61</v>
      </c>
      <c r="G48" s="7">
        <f t="shared" si="6"/>
        <v>9.5000000000000001E-2</v>
      </c>
      <c r="H48" s="7">
        <f t="shared" si="6"/>
        <v>0.125</v>
      </c>
      <c r="I48" s="12">
        <f t="shared" si="6"/>
        <v>0.17</v>
      </c>
      <c r="J48" s="7">
        <f t="shared" si="6"/>
        <v>0.185</v>
      </c>
    </row>
    <row r="49" spans="6:10" x14ac:dyDescent="0.2">
      <c r="F49" s="11">
        <f t="shared" si="1"/>
        <v>62</v>
      </c>
      <c r="G49" s="7">
        <f t="shared" si="6"/>
        <v>9.5000000000000001E-2</v>
      </c>
      <c r="H49" s="7">
        <f t="shared" si="6"/>
        <v>0.125</v>
      </c>
      <c r="I49" s="12">
        <f t="shared" si="6"/>
        <v>0.17</v>
      </c>
      <c r="J49" s="7">
        <f t="shared" si="6"/>
        <v>0.185</v>
      </c>
    </row>
    <row r="50" spans="6:10" x14ac:dyDescent="0.2">
      <c r="F50" s="11">
        <f t="shared" si="1"/>
        <v>63</v>
      </c>
      <c r="G50" s="7">
        <f t="shared" si="6"/>
        <v>9.5000000000000001E-2</v>
      </c>
      <c r="H50" s="7">
        <f t="shared" si="6"/>
        <v>0.125</v>
      </c>
      <c r="I50" s="12">
        <f t="shared" si="6"/>
        <v>0.17</v>
      </c>
      <c r="J50" s="7">
        <f t="shared" si="6"/>
        <v>0.185</v>
      </c>
    </row>
    <row r="51" spans="6:10" x14ac:dyDescent="0.2">
      <c r="F51" s="11">
        <f t="shared" si="1"/>
        <v>64</v>
      </c>
      <c r="G51" s="7">
        <f t="shared" si="6"/>
        <v>9.5000000000000001E-2</v>
      </c>
      <c r="H51" s="7">
        <f t="shared" si="6"/>
        <v>0.125</v>
      </c>
      <c r="I51" s="12">
        <f t="shared" si="6"/>
        <v>0.17</v>
      </c>
      <c r="J51" s="7">
        <f t="shared" si="6"/>
        <v>0.185</v>
      </c>
    </row>
    <row r="52" spans="6:10" x14ac:dyDescent="0.2">
      <c r="F52" s="11">
        <f t="shared" si="1"/>
        <v>65</v>
      </c>
      <c r="G52" s="7">
        <f t="shared" si="6"/>
        <v>9.5000000000000001E-2</v>
      </c>
      <c r="H52" s="7">
        <f t="shared" si="6"/>
        <v>0.125</v>
      </c>
      <c r="I52" s="12">
        <f t="shared" si="6"/>
        <v>0.17</v>
      </c>
      <c r="J52" s="7">
        <f t="shared" si="6"/>
        <v>0.185</v>
      </c>
    </row>
  </sheetData>
  <mergeCells count="5">
    <mergeCell ref="F1:J1"/>
    <mergeCell ref="G2:I2"/>
    <mergeCell ref="M1:U1"/>
    <mergeCell ref="M21:T21"/>
    <mergeCell ref="B1:D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Eingabe_Ausgabe</vt:lpstr>
      <vt:lpstr>Berechnung</vt:lpstr>
      <vt:lpstr>Reglement</vt:lpstr>
      <vt:lpstr>Eingabe_Ausgabe!Druckbereich</vt:lpstr>
    </vt:vector>
  </TitlesOfParts>
  <Company>in4U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Chrisitna Schweighauser</dc:creator>
  <cp:lastModifiedBy>Schmid Doris | SBV-USP</cp:lastModifiedBy>
  <cp:lastPrinted>2020-05-26T07:29:37Z</cp:lastPrinted>
  <dcterms:created xsi:type="dcterms:W3CDTF">2016-11-04T10:39:13Z</dcterms:created>
  <dcterms:modified xsi:type="dcterms:W3CDTF">2025-06-03T12:32:46Z</dcterms:modified>
</cp:coreProperties>
</file>